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506" windowWidth="9600" windowHeight="4455" tabRatio="884" firstSheet="6" activeTab="28"/>
  </bookViews>
  <sheets>
    <sheet name="ГРФ" sheetId="1" r:id="rId1"/>
    <sheet name="СПЦ" sheetId="2" r:id="rId2"/>
    <sheet name="ПРС" sheetId="3" r:id="rId3"/>
    <sheet name="МАТ" sheetId="4" r:id="rId4"/>
    <sheet name="ТЕО" sheetId="5" r:id="rId5"/>
    <sheet name="КНК" sheetId="6" r:id="rId6"/>
    <sheet name="С_ОБЛ" sheetId="7" r:id="rId7"/>
    <sheet name="ОФ_С" sheetId="8" r:id="rId8"/>
    <sheet name="Н_ОБЛ" sheetId="9" r:id="rId9"/>
    <sheet name="ОФ_Н" sheetId="10" r:id="rId10"/>
    <sheet name="АМ" sheetId="11" r:id="rId11"/>
    <sheet name="ОБГ" sheetId="12" r:id="rId12"/>
    <sheet name="ДВГ" sheetId="13" r:id="rId13"/>
    <sheet name="БРГ" sheetId="14" r:id="rId14"/>
    <sheet name="%1" sheetId="15" r:id="rId15"/>
    <sheet name="%5" sheetId="16" r:id="rId16"/>
    <sheet name="ДОХ" sheetId="17" r:id="rId17"/>
    <sheet name="ВИТ" sheetId="18" r:id="rId18"/>
    <sheet name="ПДВ" sheetId="19" r:id="rId19"/>
    <sheet name="ПР-ЗБ" sheetId="20" r:id="rId20"/>
    <sheet name="ПР-ЗБ_5" sheetId="21" r:id="rId21"/>
    <sheet name="КЕШ" sheetId="22" r:id="rId22"/>
    <sheet name="ОД" sheetId="23" r:id="rId23"/>
    <sheet name="ЕФ" sheetId="24" r:id="rId24"/>
    <sheet name="РИЗ" sheetId="25" r:id="rId25"/>
    <sheet name="БЕЗ" sheetId="26" r:id="rId26"/>
    <sheet name="ЧУТ" sheetId="27" r:id="rId27"/>
    <sheet name="!!!" sheetId="28" r:id="rId28"/>
    <sheet name="REZ" sheetId="29" r:id="rId29"/>
  </sheets>
  <definedNames>
    <definedName name="OLE_LINK1" localSheetId="27">'!!!'!$A$2</definedName>
    <definedName name="_xlnm.Print_Area" localSheetId="27">'!!!'!$A$1:$C$46</definedName>
    <definedName name="_xlnm.Print_Area" localSheetId="14">'%1'!$A$1:$J$18</definedName>
    <definedName name="_xlnm.Print_Area" localSheetId="15">'%5'!$A$1:$G$39</definedName>
    <definedName name="_xlnm.Print_Area" localSheetId="28">'REZ'!$A$1:$F$38</definedName>
    <definedName name="_xlnm.Print_Area" localSheetId="10">'АМ'!$A$1:$BB$29</definedName>
    <definedName name="_xlnm.Print_Area" localSheetId="25">'БЕЗ'!$A$1:$G$50</definedName>
    <definedName name="_xlnm.Print_Area" localSheetId="13">'БРГ'!$A$1:$E$47</definedName>
    <definedName name="_xlnm.Print_Area" localSheetId="17">'ВИТ'!$A$1:$G$22</definedName>
    <definedName name="_xlnm.Print_Area" localSheetId="0">'ГРФ'!$A$1:$Y$35</definedName>
    <definedName name="_xlnm.Print_Area" localSheetId="12">'ДВГ'!$A$1:$D$35</definedName>
    <definedName name="_xlnm.Print_Area" localSheetId="16">'ДОХ'!$A$1:$G$24</definedName>
    <definedName name="_xlnm.Print_Area" localSheetId="23">'ЕФ'!$A$1:$F$42</definedName>
    <definedName name="_xlnm.Print_Area" localSheetId="21">'КЕШ'!$A$1:$I$33</definedName>
    <definedName name="_xlnm.Print_Area" localSheetId="5">'КНК'!$A$1:$H$36</definedName>
    <definedName name="_xlnm.Print_Area" localSheetId="3">'МАТ'!$A$1:$D$33</definedName>
    <definedName name="_xlnm.Print_Area" localSheetId="11">'ОБГ'!$A$1:$E$38</definedName>
    <definedName name="_xlnm.Print_Area" localSheetId="22">'ОД'!$A$1:$I$35</definedName>
    <definedName name="_xlnm.Print_Area" localSheetId="9">'ОФ_Н'!$A$1:$D$39</definedName>
    <definedName name="_xlnm.Print_Area" localSheetId="7">'ОФ_С'!$A$1:$D$30</definedName>
    <definedName name="_xlnm.Print_Area" localSheetId="18">'ПДВ'!$A$1:$G$21</definedName>
    <definedName name="_xlnm.Print_Area" localSheetId="19">'ПР-ЗБ'!$A$1:$I$24</definedName>
    <definedName name="_xlnm.Print_Area" localSheetId="20">'ПР-ЗБ_5'!$A$1:$G$62</definedName>
    <definedName name="_xlnm.Print_Area" localSheetId="2">'ПРС'!$A$1:$G$27</definedName>
    <definedName name="_xlnm.Print_Area" localSheetId="24">'РИЗ'!$A$1:$H$53</definedName>
    <definedName name="_xlnm.Print_Area" localSheetId="1">'СПЦ'!$A$1:$D$19</definedName>
    <definedName name="_xlnm.Print_Area" localSheetId="4">'ТЕО'!$A$1:$D$57</definedName>
    <definedName name="_xlnm.Print_Area" localSheetId="26">'ЧУТ'!$A$1:$H$107</definedName>
    <definedName name="Print_Area_MI" localSheetId="28">'REZ'!#REF!</definedName>
    <definedName name="Print_Area_MI" localSheetId="23">'ЕФ'!#REF!</definedName>
    <definedName name="Print_Area_MI" localSheetId="21">'КЕШ'!$B$3:$F$31</definedName>
    <definedName name="Print_Area_MI" localSheetId="19">'ПР-ЗБ'!$B$3:$F$23</definedName>
  </definedNames>
  <calcPr fullCalcOnLoad="1"/>
</workbook>
</file>

<file path=xl/sharedStrings.xml><?xml version="1.0" encoding="utf-8"?>
<sst xmlns="http://schemas.openxmlformats.org/spreadsheetml/2006/main" count="1618" uniqueCount="1003">
  <si>
    <r>
      <t xml:space="preserve">1. Алгоритм розрахунку амортизаційних відрахувань: </t>
    </r>
    <r>
      <rPr>
        <b/>
        <sz val="11"/>
        <rFont val="Arial"/>
        <family val="2"/>
      </rPr>
      <t>Вартість на початок кварталу</t>
    </r>
    <r>
      <rPr>
        <sz val="11"/>
        <rFont val="Arial"/>
        <family val="2"/>
      </rPr>
      <t xml:space="preserve"> = </t>
    </r>
    <r>
      <rPr>
        <b/>
        <sz val="11"/>
        <rFont val="Arial"/>
        <family val="2"/>
      </rPr>
      <t>Залишковій вартості</t>
    </r>
    <r>
      <rPr>
        <sz val="11"/>
        <rFont val="Arial"/>
        <family val="2"/>
      </rPr>
      <t xml:space="preserve"> попереднього кварталу; </t>
    </r>
    <r>
      <rPr>
        <b/>
        <sz val="11"/>
        <rFont val="Arial"/>
        <family val="2"/>
      </rPr>
      <t>Амортизаційні відрахування</t>
    </r>
    <r>
      <rPr>
        <sz val="11"/>
        <rFont val="Arial"/>
        <family val="2"/>
      </rPr>
      <t xml:space="preserve"> за квартал = </t>
    </r>
    <r>
      <rPr>
        <b/>
        <sz val="11"/>
        <rFont val="Arial"/>
        <family val="2"/>
      </rPr>
      <t>Вартість на початок кварталу</t>
    </r>
    <r>
      <rPr>
        <sz val="11"/>
        <rFont val="Arial"/>
        <family val="2"/>
      </rPr>
      <t xml:space="preserve"> * </t>
    </r>
    <r>
      <rPr>
        <b/>
        <sz val="11"/>
        <rFont val="Arial"/>
        <family val="2"/>
      </rPr>
      <t>Норму амортизації</t>
    </r>
    <r>
      <rPr>
        <sz val="11"/>
        <rFont val="Arial"/>
        <family val="2"/>
      </rPr>
      <t xml:space="preserve"> за квартал; </t>
    </r>
    <r>
      <rPr>
        <b/>
        <sz val="11"/>
        <rFont val="Arial"/>
        <family val="2"/>
      </rPr>
      <t>Залишкова вартість</t>
    </r>
    <r>
      <rPr>
        <sz val="11"/>
        <rFont val="Arial"/>
        <family val="2"/>
      </rPr>
      <t xml:space="preserve"> на кінець кварталу = </t>
    </r>
    <r>
      <rPr>
        <b/>
        <sz val="11"/>
        <rFont val="Arial"/>
        <family val="2"/>
      </rPr>
      <t>Вартість на початок кварталу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Амортизаційні відрахування</t>
    </r>
    <r>
      <rPr>
        <sz val="11"/>
        <rFont val="Arial"/>
        <family val="2"/>
      </rPr>
      <t xml:space="preserve"> за квартал. Або з використанням формули: </t>
    </r>
    <r>
      <rPr>
        <b/>
        <sz val="11"/>
        <rFont val="Arial"/>
        <family val="2"/>
      </rPr>
      <t>Амортизаційні відрахування за рік</t>
    </r>
    <r>
      <rPr>
        <sz val="11"/>
        <rFont val="Arial"/>
        <family val="2"/>
      </rPr>
      <t xml:space="preserve"> = </t>
    </r>
    <r>
      <rPr>
        <b/>
        <sz val="11"/>
        <rFont val="Arial"/>
        <family val="2"/>
      </rPr>
      <t>Вартість групи ОФ на початок року</t>
    </r>
    <r>
      <rPr>
        <sz val="11"/>
        <rFont val="Arial"/>
        <family val="2"/>
      </rPr>
      <t xml:space="preserve"> * </t>
    </r>
    <r>
      <rPr>
        <b/>
        <sz val="11"/>
        <rFont val="Arial"/>
        <family val="2"/>
      </rPr>
      <t>Коефіцієнт річних амортвідрахувань</t>
    </r>
    <r>
      <rPr>
        <sz val="11"/>
        <rFont val="Arial"/>
        <family val="2"/>
      </rPr>
      <t xml:space="preserve"> для групи ОФ. Наприклад, для 1-ї групи ОФ: </t>
    </r>
    <r>
      <rPr>
        <b/>
        <sz val="11"/>
        <rFont val="Arial"/>
        <family val="2"/>
      </rPr>
      <t>Коефіцієнт річних амортвідрахувань</t>
    </r>
    <r>
      <rPr>
        <sz val="11"/>
        <rFont val="Arial"/>
        <family val="2"/>
      </rPr>
      <t xml:space="preserve"> = </t>
    </r>
    <r>
      <rPr>
        <b/>
        <sz val="11"/>
        <rFont val="Arial"/>
        <family val="2"/>
      </rPr>
      <t>2%*(1+0,98+0,98*0,98+0,98*0,98*0,98) = 0,07763184.</t>
    </r>
  </si>
  <si>
    <t>Примітки:</t>
  </si>
  <si>
    <t>(Старі основні фонди - це ОФ, введені в експлуатацію до 01.01.2004 р.)</t>
  </si>
  <si>
    <t>(Нові основні фонди - це ОФ, введені в експлуатацію після 01.01.2004 р.                                                 або будуть введені в майбутніх періодах)</t>
  </si>
  <si>
    <t>Експертиза бізнес-плану банком.</t>
  </si>
  <si>
    <t xml:space="preserve"> - робота ВПЦ "ФАКЕЛ"</t>
  </si>
  <si>
    <t>Інші витрати періоду запуску ВПЦ</t>
  </si>
  <si>
    <t>Власні кошти, грн.</t>
  </si>
  <si>
    <t>Кредитні кошти, грн.</t>
  </si>
  <si>
    <t>Розробка та експертиза бізнес-плану</t>
  </si>
  <si>
    <t>ВСЬОГО кредитних коштів на суму, грн.:</t>
  </si>
  <si>
    <t>ВСЬОГО власних коштів на суму, грн.:</t>
  </si>
  <si>
    <t>РАЗОМ власних та кредитних коштів на суму, грн.:</t>
  </si>
  <si>
    <t>ЯКІ БУДУТЬ ПРИДБАНІ ЗА РАХУНОК ВЛАСНИХ ТА КРЕДИТНИХ КОШТІВ</t>
  </si>
  <si>
    <t>ТЕХНІКО-ЕКОНОМІЧНІ ПОКАЗНИКИ</t>
  </si>
  <si>
    <t>РОБОТИ ВИДАВНИЧО-ПОЛІГРАФІЧНОГО ЦЕНТРУ</t>
  </si>
  <si>
    <t>Таблиця</t>
  </si>
  <si>
    <t>Кваліфікація спеціалістів</t>
  </si>
  <si>
    <t>Вантажник</t>
  </si>
  <si>
    <t>ПЛАН ПЕРСОНАЛУ ВПЦ "ФАКЕЛ"</t>
  </si>
  <si>
    <t xml:space="preserve"> зміна</t>
  </si>
  <si>
    <t>Запланований річний тираж книг</t>
  </si>
  <si>
    <t>Запланований річний тираж випуску журналів</t>
  </si>
  <si>
    <t>Запланований тираж плану роботи викладача, журналу аудиторії тощо</t>
  </si>
  <si>
    <t>Запланований річний тираж посібників в тонкій обкладинці</t>
  </si>
  <si>
    <t>Номери траншів</t>
  </si>
  <si>
    <t>Сума траншу, грн.</t>
  </si>
  <si>
    <t>1-й транш</t>
  </si>
  <si>
    <t>2-й транш</t>
  </si>
  <si>
    <t>3-й транш</t>
  </si>
  <si>
    <t xml:space="preserve"> - запланована дата введення в експлуатацію</t>
  </si>
  <si>
    <t>- ліміт вл.кош.</t>
  </si>
  <si>
    <t>- ліміт кредиту</t>
  </si>
  <si>
    <t>- контрольний нуль</t>
  </si>
  <si>
    <t>Вартість етапу, грн.</t>
  </si>
  <si>
    <t>Запланована дата кредитування</t>
  </si>
  <si>
    <t>Забезпечення витр. матеріалами</t>
  </si>
  <si>
    <t>Придбання меблів</t>
  </si>
  <si>
    <t>За 5 років,</t>
  </si>
  <si>
    <t>за 5 років</t>
  </si>
  <si>
    <t>Річний валовий дохід ВПЦ "ФАКЕЛ"                                       від надання додаткових послуг (з ПДВ)</t>
  </si>
  <si>
    <t>Річний валовий дохід ВПЦ "ФАКЕЛ"                                       від усіх видів діяльності (з ПДВ)</t>
  </si>
  <si>
    <t>- заданий відсоток зростання щорічних валових доходів (починаючи з 3-го року діяльності ВПЦ).</t>
  </si>
  <si>
    <t>- заданий відсоток зростання щорічних валових затрат (починаючи з 3-го року діяльності ВПЦ).</t>
  </si>
  <si>
    <t>- заданий відсоток зростання щорічних валових доходів (з 3-го року діяльності ВПЦ).</t>
  </si>
  <si>
    <t>- заданий відсоток зростання щорічних валових затрат (з 3-го року діяльності ВПЦ).</t>
  </si>
  <si>
    <t>Валові затрати на закупівлю витратних матеріалів</t>
  </si>
  <si>
    <t>ПДВ у валовому доході (16,67%)</t>
  </si>
  <si>
    <t>Затрати на оплату за е/енергію, воду, опалення, телефон, обслуговування та ремонт обладнання</t>
  </si>
  <si>
    <t>РОЗРАХУНОК ЧАСТКИ ПДВ У ВАЛОВИХ ЗАТРАТ НА УТРИМАННЯ ВПЦ "ФАКЕЛ"</t>
  </si>
  <si>
    <r>
      <t>Сума ПДВ, що підлягає сплаті до бюджету (</t>
    </r>
    <r>
      <rPr>
        <sz val="12"/>
        <color indexed="12"/>
        <rFont val="Arial"/>
        <family val="2"/>
      </rPr>
      <t>від придбання витратних матеріалів)</t>
    </r>
  </si>
  <si>
    <t>річні суми погашення кредиту з КЕШ</t>
  </si>
  <si>
    <t>квартальні суми погашення кредиту з КЕШ</t>
  </si>
  <si>
    <t>Сюди перенесені відсотки за кредит по роках, для хручності передачі даних в: ПРБ-ЗБ та КЕШ</t>
  </si>
  <si>
    <r>
      <t>Сума ПДВ, що підлягає сплаті до бюджету (</t>
    </r>
    <r>
      <rPr>
        <sz val="12"/>
        <color indexed="12"/>
        <rFont val="Arial"/>
        <family val="2"/>
      </rPr>
      <t>від придбання витратних матеріалів та понесених затрат на утримання ВПЦ)</t>
    </r>
  </si>
  <si>
    <t xml:space="preserve">В проекті умовно прийнято, що оптові закупівельні ціни на витратні матеріали зростатимуть щороку на 2%, </t>
  </si>
  <si>
    <t>Запланований річний тираж навчально-методичної літератури</t>
  </si>
  <si>
    <t>Вартість 1-го начального посібника в тонкій обкладинці</t>
  </si>
  <si>
    <t>Оператори ПК (набір тексту, верстка)</t>
  </si>
  <si>
    <t>Цифровий дуплікатор DUPLO DP-63,5-Ф-А3, 600х600 DPI</t>
  </si>
  <si>
    <t>Вартість 1-ї книжки (монографії, підручника і т.п.) обсягом до 500 стор.</t>
  </si>
  <si>
    <t>Вартість 1-го журналу ("Науковий вісник", "Розвідка і розробка ...“)</t>
  </si>
  <si>
    <t>Вартість 1-го журналу (плану роботи викладача, журналу аудиторії)</t>
  </si>
  <si>
    <t>Річний валовий дохід від надання додаткових послуг (ксерокопіювання, зшивання, тощо)</t>
  </si>
  <si>
    <t>Місячний валовий дохід від надання додаткових послуг  (ксерокопіювання, зшивання, тощо)</t>
  </si>
  <si>
    <t>Од. виміру</t>
  </si>
  <si>
    <t>Вартість 1-го бланку</t>
  </si>
  <si>
    <t>Запланований річний тираж бланків</t>
  </si>
  <si>
    <t xml:space="preserve"> дні</t>
  </si>
  <si>
    <t xml:space="preserve"> місяці</t>
  </si>
  <si>
    <t>Вартість 1-ї книжки (монографії, підручника і т.п.)                                 обсягом до 500 стор.</t>
  </si>
  <si>
    <t>Вартість 1-го журналу                                                                                                        ("Науковий вісник", "Розвідка і розробка ...“)</t>
  </si>
  <si>
    <t>2. Амортизаційні відрахування для “старих” основних фондів розраховуються на майбутні періоди за старими нормами амортизації, а для “нових” основних фондів – за нині діючими нормами амортизації, після чого амортвідрахування сумуються по періодах дії проекту і їх сумарні значення по періодах беруть участь у подальших фінансово-економічних розрахунках прибутків-збитків та грошових потоків проекту.</t>
  </si>
  <si>
    <r>
      <t>Коефіцієнт амортвідрахувань за рік при нормі</t>
    </r>
    <r>
      <rPr>
        <b/>
        <sz val="11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>2%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</si>
  <si>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6%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</si>
  <si>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10%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</si>
  <si>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15%</t>
    </r>
    <r>
      <rPr>
        <sz val="11"/>
        <rFont val="Arial Cyr"/>
        <family val="0"/>
      </rPr>
      <t xml:space="preserve"> квартальних:</t>
    </r>
  </si>
  <si>
    <t>1-а група ОФ</t>
  </si>
  <si>
    <t>2-а група ОФ</t>
  </si>
  <si>
    <t>4-а група ОФ</t>
  </si>
  <si>
    <t>3-я група ОФ</t>
  </si>
  <si>
    <t>ВСЬОГО додаткових витратних матеріалів на суму:</t>
  </si>
  <si>
    <t>ВСЬОГО основних витратних матеріалів на суму:</t>
  </si>
  <si>
    <t>ВСЬОГО вартість річної потреби витратних матеріалів:</t>
  </si>
  <si>
    <t>Рис. 2.3 - Графік щорічної потреби обігових коштів для закупівлі витратних матеріалів (перший стовбчик)</t>
  </si>
  <si>
    <t>та графік щорічного забезпечення власними обіговими коштами (другий стовбчик)</t>
  </si>
  <si>
    <t>Річна потреба в обігових коштах для закупівлі основних та додаткових витратних матеріалів (з 3-го року збільшується на 2% щорічно)</t>
  </si>
  <si>
    <t>Н   О   В   І       О   С   Н   О   В   Н   І       Ф   О   Н   Д   И</t>
  </si>
  <si>
    <t>Коефіцієнт річних амортизаційних відрахувань</t>
  </si>
  <si>
    <t>Вартість 1-го примірника навчально-методичної літератури (методичка, практикум і т.п)</t>
  </si>
  <si>
    <t>Показники</t>
  </si>
  <si>
    <t>Всього                за 5 років</t>
  </si>
  <si>
    <t>Валовий обсяг продажу додаткових послуг (ксерокопіювання, зшивання)</t>
  </si>
  <si>
    <t>- відсоток збільшення щорічного доходу</t>
  </si>
  <si>
    <t>Довготерміновий кредит</t>
  </si>
  <si>
    <t>Залучення інших коштів</t>
  </si>
  <si>
    <t>Валові витрати ВПЦ "ФАКЕЛ" на придбання витратних матеріалів основного виробництва</t>
  </si>
  <si>
    <t xml:space="preserve">Валові витрати ВПЦ "ФАКЕЛ" на придбання додаткових витратних матеріалів </t>
  </si>
  <si>
    <t>З м і н н і   в а л о в і   в и т р а т и    б е з   П Д В</t>
  </si>
  <si>
    <t>П о с т і й н і   в а л о в і   в и т р а т и   б е з   П Д В</t>
  </si>
  <si>
    <t>Валові витрати на спожиту е/енергію, воду, опалення</t>
  </si>
  <si>
    <t>Валові витрати на обслуговування та ремонт обладнання, на оплату телефону</t>
  </si>
  <si>
    <t>Всього змінних валових витрат з ПДВ</t>
  </si>
  <si>
    <t>Частка сплаченого ПДВ у змінних витратах</t>
  </si>
  <si>
    <t>Річний фонд заробітної плати з нарахуваннями</t>
  </si>
  <si>
    <t>Всього змінних валових витрат без ПДВ</t>
  </si>
  <si>
    <r>
      <t xml:space="preserve">Всього операційних витрат з ПДВ                                           </t>
    </r>
    <r>
      <rPr>
        <sz val="12"/>
        <color indexed="12"/>
        <rFont val="Arial"/>
        <family val="2"/>
      </rPr>
      <t xml:space="preserve">   (змінні + постійні валові витрати)</t>
    </r>
  </si>
  <si>
    <t>Всього постійних валових витрат з ПДВ</t>
  </si>
  <si>
    <t>Частка сплаченого ПДВ у постійних витратах</t>
  </si>
  <si>
    <t>Всього постійних валових витрат без ПДВ</t>
  </si>
  <si>
    <t>Групи                            основних                          фондів</t>
  </si>
  <si>
    <t>С   Т   А   Р   І       О   С   Н   О   В   Н   І       Ф   О   Н   Д   И</t>
  </si>
  <si>
    <t>Групи                            основних                          фондів      (старі)</t>
  </si>
  <si>
    <r>
      <t>Коефіцієнт амортвідрахувань за рік при нормі</t>
    </r>
    <r>
      <rPr>
        <b/>
        <sz val="11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>1,25%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</si>
  <si>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6,25%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</si>
  <si>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3,75%</t>
    </r>
    <r>
      <rPr>
        <sz val="11"/>
        <rFont val="Arial Cyr"/>
        <family val="0"/>
      </rPr>
      <t xml:space="preserve"> квартальних:</t>
    </r>
  </si>
  <si>
    <t>Вартість 1-го журналу                                                                                                           (плану роботи викладача, журналу аудиторії)</t>
  </si>
  <si>
    <t>Місячний валовий дохід ВПЦ “ФАКЕЛ" від усіх видів діяльності</t>
  </si>
  <si>
    <t>Річний валовий дохід ВПЦ "ФАКЕЛ“ від усіх видів діяльності</t>
  </si>
  <si>
    <t>Місячна плата за е/енергію, газ, воду, опалення, телефон</t>
  </si>
  <si>
    <t>Річні валові затрати ВПЦ на придбання витраних матеріалів для основного виробництва</t>
  </si>
  <si>
    <t>ТА ГРАФІК ВВЕДЕННЯ ЇХ ДІЮ</t>
  </si>
  <si>
    <t>ВПЦ "ФАКЕЛ" виробничі приміщення орендує в Івано-Франківському національному технічному університеті нафти і газу. Власних приміщень та земельних ділянок не має.</t>
  </si>
  <si>
    <t>РОЗПОДІЛ НОВИХ ОСНОВНИХ ФОНДІВ ПІДПРИЄМСТВА ПО ГРУПАХ</t>
  </si>
  <si>
    <t>немає</t>
  </si>
  <si>
    <t xml:space="preserve">автомобільний транспорт та вузли (запасні частини) </t>
  </si>
  <si>
    <t xml:space="preserve">до нього; меблі; побутові електронні, оптичні, </t>
  </si>
  <si>
    <t xml:space="preserve">електромеханічні прилади та інструменти, </t>
  </si>
  <si>
    <t>конторське (офісне) обладнання, устаткування та</t>
  </si>
  <si>
    <t xml:space="preserve">приладдя до них; </t>
  </si>
  <si>
    <t xml:space="preserve">будівлі, споруди, їх структурні компоненти та </t>
  </si>
  <si>
    <t xml:space="preserve">передавальні пристрої, в тому числі жилі будинки </t>
  </si>
  <si>
    <t>та їх частини (квартири і місця загального користу-</t>
  </si>
  <si>
    <t>вання, вартість капітального поліпшення землі</t>
  </si>
  <si>
    <t xml:space="preserve">будь-які інші основні фонди, не включені </t>
  </si>
  <si>
    <t>до груп 1, 2 і 4.</t>
  </si>
  <si>
    <t xml:space="preserve">електронно-обчислювальні машини, інші машини </t>
  </si>
  <si>
    <t>для автоматичного оброблення інформації, їх про-</t>
  </si>
  <si>
    <t>грамне забезпечення, пов'язані з ними засоби зчиту-</t>
  </si>
  <si>
    <t>Брошуровщик (пластиковими пружинами)</t>
  </si>
  <si>
    <r>
      <t xml:space="preserve">Вартість </t>
    </r>
    <r>
      <rPr>
        <b/>
        <sz val="11"/>
        <rFont val="Arial Cyr"/>
        <family val="0"/>
      </rPr>
      <t>ОФ 3-ї групи</t>
    </r>
    <r>
      <rPr>
        <sz val="11"/>
        <rFont val="Arial Cyr"/>
        <family val="0"/>
      </rPr>
      <t xml:space="preserve"> на початок періоду</t>
    </r>
  </si>
  <si>
    <r>
      <t xml:space="preserve">Вартість </t>
    </r>
    <r>
      <rPr>
        <b/>
        <sz val="11"/>
        <rFont val="Arial Cyr"/>
        <family val="0"/>
      </rPr>
      <t>ОФ 1-ї групи</t>
    </r>
    <r>
      <rPr>
        <sz val="11"/>
        <rFont val="Arial Cyr"/>
        <family val="0"/>
      </rPr>
      <t xml:space="preserve"> на початок періоду, грн.</t>
    </r>
  </si>
  <si>
    <r>
      <t xml:space="preserve">Вартість </t>
    </r>
    <r>
      <rPr>
        <b/>
        <sz val="11"/>
        <rFont val="Arial Cyr"/>
        <family val="0"/>
      </rPr>
      <t>ОФ 2-ї групи</t>
    </r>
    <r>
      <rPr>
        <sz val="11"/>
        <rFont val="Arial Cyr"/>
        <family val="0"/>
      </rPr>
      <t xml:space="preserve"> на початок періоду, грн.</t>
    </r>
  </si>
  <si>
    <r>
      <t xml:space="preserve">Вартість </t>
    </r>
    <r>
      <rPr>
        <b/>
        <sz val="11"/>
        <rFont val="Arial Cyr"/>
        <family val="0"/>
      </rPr>
      <t>ОФ 4-ї групи</t>
    </r>
    <r>
      <rPr>
        <sz val="11"/>
        <rFont val="Arial Cyr"/>
        <family val="0"/>
      </rPr>
      <t xml:space="preserve"> на початок періоду</t>
    </r>
  </si>
  <si>
    <r>
      <t xml:space="preserve">Розрахунок амортизаційних відрахувань по періодах для "старих" основних фондів </t>
    </r>
    <r>
      <rPr>
        <sz val="12"/>
        <color indexed="12"/>
        <rFont val="Arial Cyr"/>
        <family val="0"/>
      </rPr>
      <t xml:space="preserve"> (введених в дію до 01.01.2004 року)</t>
    </r>
  </si>
  <si>
    <r>
      <t xml:space="preserve">Розрахунок амортизаційних відрахувань по періодах для "нових" основних фондів </t>
    </r>
    <r>
      <rPr>
        <sz val="12"/>
        <color indexed="12"/>
        <rFont val="Arial Cyr"/>
        <family val="0"/>
      </rPr>
      <t>(введених в дію після 01.01.2004 року)</t>
    </r>
  </si>
  <si>
    <t>Всього                      за 5 років, грн.</t>
  </si>
  <si>
    <t>вання або друку інформації, інші інформаційні сис-</t>
  </si>
  <si>
    <t>теми, телефони (у тому числі стільникові), мікро-</t>
  </si>
  <si>
    <t xml:space="preserve">фони і рації, вартість яких перевищує вартість </t>
  </si>
  <si>
    <t>малоцінних товарів (предметів)</t>
  </si>
  <si>
    <t xml:space="preserve">Примітки: </t>
  </si>
  <si>
    <t>Початкова вартість ОФ 1-ї групи</t>
  </si>
  <si>
    <t>Початкова вартість ОФ 2-ї групи</t>
  </si>
  <si>
    <t>Початкова вартість ОФ 3-ї групи</t>
  </si>
  <si>
    <t>Початкова вартість ОФ 4-ї групи</t>
  </si>
  <si>
    <t>РОЗПОДІЛ СТАРИХ ОСНОВНИХ ФОНДІВ ПІДПРИЄМСТВА ПО ГРУПАХ</t>
  </si>
  <si>
    <t>до груп 1 і 2.</t>
  </si>
  <si>
    <t>Місячні валові витрати для забезпечення виробничої діяльності</t>
  </si>
  <si>
    <t>Придбання технологічного та спеціалізованого обладнання</t>
  </si>
  <si>
    <t>Забезпечення витратними матеріалами. Інші витрати періоду запуску ВПЦ</t>
  </si>
  <si>
    <t>До другої групи належить все основне старе технологічне обладнання ВПЦ "ФАКЕЛ", комп'ютерна техніка, меблі</t>
  </si>
  <si>
    <r>
      <t>Група 1</t>
    </r>
    <r>
      <rPr>
        <b/>
        <sz val="12"/>
        <color indexed="12"/>
        <rFont val="Arial Cyr"/>
        <family val="0"/>
      </rPr>
      <t xml:space="preserve">             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- 1,25% </t>
    </r>
    <r>
      <rPr>
        <sz val="12"/>
        <color indexed="12"/>
        <rFont val="Arial Cyr"/>
        <family val="0"/>
      </rPr>
      <t>за квартал</t>
    </r>
  </si>
  <si>
    <r>
      <t>Група 2</t>
    </r>
    <r>
      <rPr>
        <b/>
        <sz val="12"/>
        <color indexed="12"/>
        <rFont val="Arial Cyr"/>
        <family val="0"/>
      </rPr>
      <t xml:space="preserve">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- 6,25% </t>
    </r>
    <r>
      <rPr>
        <sz val="12"/>
        <color indexed="12"/>
        <rFont val="Arial Cyr"/>
        <family val="0"/>
      </rPr>
      <t>за квартал</t>
    </r>
  </si>
  <si>
    <r>
      <t>Група 3</t>
    </r>
    <r>
      <rPr>
        <b/>
        <sz val="12"/>
        <color indexed="12"/>
        <rFont val="Arial Cyr"/>
        <family val="0"/>
      </rPr>
      <t xml:space="preserve">  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- 3,75% </t>
    </r>
    <r>
      <rPr>
        <sz val="12"/>
        <color indexed="12"/>
        <rFont val="Arial Cyr"/>
        <family val="0"/>
      </rPr>
      <t>за квартал</t>
    </r>
  </si>
  <si>
    <r>
      <t>Група 1</t>
    </r>
    <r>
      <rPr>
        <b/>
        <sz val="12"/>
        <color indexed="12"/>
        <rFont val="Arial Cyr"/>
        <family val="0"/>
      </rPr>
      <t xml:space="preserve">             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- 2% </t>
    </r>
    <r>
      <rPr>
        <sz val="12"/>
        <color indexed="12"/>
        <rFont val="Arial Cyr"/>
        <family val="0"/>
      </rPr>
      <t>за квартал</t>
    </r>
  </si>
  <si>
    <r>
      <t>Група 2</t>
    </r>
    <r>
      <rPr>
        <b/>
        <sz val="12"/>
        <color indexed="12"/>
        <rFont val="Arial Cyr"/>
        <family val="0"/>
      </rPr>
      <t xml:space="preserve">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- 10% </t>
    </r>
    <r>
      <rPr>
        <sz val="12"/>
        <color indexed="12"/>
        <rFont val="Arial Cyr"/>
        <family val="0"/>
      </rPr>
      <t>за квартал</t>
    </r>
  </si>
  <si>
    <r>
      <t>Група 3</t>
    </r>
    <r>
      <rPr>
        <b/>
        <sz val="12"/>
        <color indexed="12"/>
        <rFont val="Arial Cyr"/>
        <family val="0"/>
      </rPr>
      <t xml:space="preserve">  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- 6% </t>
    </r>
    <r>
      <rPr>
        <sz val="12"/>
        <color indexed="12"/>
        <rFont val="Arial Cyr"/>
        <family val="0"/>
      </rPr>
      <t>за квартал</t>
    </r>
  </si>
  <si>
    <r>
      <t>Група 4</t>
    </r>
    <r>
      <rPr>
        <b/>
        <sz val="12"/>
        <color indexed="12"/>
        <rFont val="Arial Cyr"/>
        <family val="0"/>
      </rPr>
      <t xml:space="preserve">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- 15% </t>
    </r>
    <r>
      <rPr>
        <sz val="12"/>
        <color indexed="12"/>
        <rFont val="Arial Cyr"/>
        <family val="0"/>
      </rPr>
      <t>за квартал</t>
    </r>
  </si>
  <si>
    <t>ВСЬОГО ВАРТІСТЬ ОСНОВНИХ ФОНДІВ, грн.:</t>
  </si>
  <si>
    <t>1. Амортизація витрат, понесених (нарахованих) платником податку у зв’язку з придбанням або спорудженням чи поліпшенням нових основних фондів груп 1, 2 та 3  до 1 січня 2004 року здійснюється за нормами амортизації, що діяли до 1 січня 2004 року. При цьому для мети податкового обліку платники податку зобов’язані вести окремий облік витрат, понесених у зв’язку з придбанням або спорудженням та/або поліпшенням основних фондів, здійснюваних після 1 січня 2004 року.</t>
  </si>
  <si>
    <t xml:space="preserve"> Сума власних коштів для сплати відсотків</t>
  </si>
  <si>
    <t xml:space="preserve"> Сума власних коштів на капітальні вкладення</t>
  </si>
  <si>
    <t>Валовий дохід від додаткових послуг (ксерокопіювання, зшивання)</t>
  </si>
  <si>
    <t>+Залучення інших коштів</t>
  </si>
  <si>
    <t>-Повернення інших коштів</t>
  </si>
  <si>
    <t>Повернення інших коштів</t>
  </si>
  <si>
    <t>Власні + інші залучені кошти</t>
  </si>
  <si>
    <t>Повернення інших залучених коштів</t>
  </si>
  <si>
    <t>-звірка з ВИТ</t>
  </si>
  <si>
    <t>-звірка з КЕШ</t>
  </si>
  <si>
    <t>Погашення довгострокового кредиту</t>
  </si>
  <si>
    <r>
      <t>Валовий дохід</t>
    </r>
    <r>
      <rPr>
        <sz val="11"/>
        <color indexed="12"/>
        <rFont val="Arial"/>
        <family val="2"/>
      </rPr>
      <t xml:space="preserve"> (від усіх видів діяльності)</t>
    </r>
  </si>
  <si>
    <t>ПРОГНОЗНИЙ ЗВІТ ПРО РУХ ГРОШОВИХ КОШТІВ</t>
  </si>
  <si>
    <t>Платежі до бюджету (ПДВ + податок з прибутку)</t>
  </si>
  <si>
    <t>Всього виплат за період</t>
  </si>
  <si>
    <t>РОЗРАХУНОК КОЕФІЦІЄНТА ОБСЛУГОВУВАННЯ БОРГУ</t>
  </si>
  <si>
    <t>Відсотки за кредит</t>
  </si>
  <si>
    <t>(%)</t>
  </si>
  <si>
    <r>
      <t xml:space="preserve">Коефіцієнт обслуговування боргу                      </t>
    </r>
    <r>
      <rPr>
        <b/>
        <sz val="14"/>
        <rFont val="Arial"/>
        <family val="2"/>
      </rPr>
      <t xml:space="preserve">Debt Cover Ratio = </t>
    </r>
    <r>
      <rPr>
        <b/>
        <i/>
        <sz val="14"/>
        <rFont val="Arial"/>
        <family val="2"/>
      </rPr>
      <t>(G+Н) / (%+K)</t>
    </r>
  </si>
  <si>
    <r>
      <t xml:space="preserve">Контрольна сума повернення основного боргу = </t>
    </r>
    <r>
      <rPr>
        <b/>
        <sz val="11"/>
        <color indexed="10"/>
        <rFont val="Arial"/>
        <family val="2"/>
      </rPr>
      <t>0</t>
    </r>
    <r>
      <rPr>
        <b/>
        <sz val="11"/>
        <rFont val="Arial"/>
        <family val="2"/>
      </rPr>
      <t xml:space="preserve"> !</t>
    </r>
  </si>
  <si>
    <t>ВСЬОГО АМОРТИЗАЦІЙНИХ ВІДРАХУВАНЬ, грн.:</t>
  </si>
  <si>
    <t>Річна норма амортизації</t>
  </si>
  <si>
    <r>
      <t xml:space="preserve">Амортизаційні відрахування для </t>
    </r>
    <r>
      <rPr>
        <b/>
        <sz val="12"/>
        <rFont val="Arial Cyr"/>
        <family val="0"/>
      </rPr>
      <t>ОФ 1-ї групи</t>
    </r>
  </si>
  <si>
    <r>
      <t xml:space="preserve">Амортизаційні відрахування для </t>
    </r>
    <r>
      <rPr>
        <b/>
        <sz val="12"/>
        <rFont val="Arial Cyr"/>
        <family val="0"/>
      </rPr>
      <t>ОФ 2-ї групи</t>
    </r>
  </si>
  <si>
    <r>
      <t xml:space="preserve">Амортизаційні відрахування для </t>
    </r>
    <r>
      <rPr>
        <b/>
        <sz val="12"/>
        <rFont val="Arial Cyr"/>
        <family val="0"/>
      </rPr>
      <t>ОФ 3-ї групи</t>
    </r>
  </si>
  <si>
    <r>
      <t xml:space="preserve">Амортизаційні відрахування для </t>
    </r>
    <r>
      <rPr>
        <b/>
        <sz val="12"/>
        <rFont val="Arial Cyr"/>
        <family val="0"/>
      </rPr>
      <t>ОФ 4-ї групи</t>
    </r>
  </si>
  <si>
    <t>Річні валові витрати на придбання додаткових витратних матеріалів (для ксерокопіювання, зшивання, тощо)</t>
  </si>
  <si>
    <t>Місячні валові затрати ВПЦ на придбання витратних матеріалів для основного виробництва</t>
  </si>
  <si>
    <t>Місячні валові витрати на придбання додаткових витратних матеріалів (для ксерокопіювання, зшивання, тощо)</t>
  </si>
  <si>
    <t>Річний фонд заробітної плати персоналу ВПЦ з нарахуваннями</t>
  </si>
  <si>
    <t>Річний дебет ПДВ</t>
  </si>
  <si>
    <t>Річні валові затрати ВПЦ "ФАКЕЛ“ для забезпечення виробничої діяльності</t>
  </si>
  <si>
    <t>Чистий дохід</t>
  </si>
  <si>
    <t>Змінні витрати без ПДВ</t>
  </si>
  <si>
    <t>Постійні витрати без ПДВ</t>
  </si>
  <si>
    <t>Всього операційних витрат</t>
  </si>
  <si>
    <t>Проценти та комісійні по кредиту</t>
  </si>
  <si>
    <t>Амортизація</t>
  </si>
  <si>
    <t>Збитки поперед. періодів (наростаючим підсумком)</t>
  </si>
  <si>
    <t>Оподатковуваний прибуток</t>
  </si>
  <si>
    <t>Податок на прибуток</t>
  </si>
  <si>
    <t>Чистий прибуток за період</t>
  </si>
  <si>
    <t>Надходження</t>
  </si>
  <si>
    <t>Власний внесок</t>
  </si>
  <si>
    <t>Платежі</t>
  </si>
  <si>
    <t>Змінні витрати, з ПДВ</t>
  </si>
  <si>
    <t>Постійні витрати, з ПДВ</t>
  </si>
  <si>
    <t>податок на прибуток</t>
  </si>
  <si>
    <t>сальдо ПДВ (наростаючим підсумком)</t>
  </si>
  <si>
    <t>сальдо ПДВ за поточний місяць</t>
  </si>
  <si>
    <t>отриманий</t>
  </si>
  <si>
    <t>сплачений</t>
  </si>
  <si>
    <t>Обслуговування боргу (%, комісії)</t>
  </si>
  <si>
    <t>Придбання основних засобів</t>
  </si>
  <si>
    <t>Збільшення запасу оборотних коштів</t>
  </si>
  <si>
    <t>Погашення інших кредитів</t>
  </si>
  <si>
    <t>Грошові кошти:</t>
  </si>
  <si>
    <t>Чистий грошовий потік</t>
  </si>
  <si>
    <t>Сплата процентів по кредиту</t>
  </si>
  <si>
    <t>Всього покриття виплат</t>
  </si>
  <si>
    <t>Коефіцієнт обслуговування боргу</t>
  </si>
  <si>
    <t>1 рік</t>
  </si>
  <si>
    <t>2 рік</t>
  </si>
  <si>
    <t>3 рік</t>
  </si>
  <si>
    <t>4 рік</t>
  </si>
  <si>
    <t>5 рік</t>
  </si>
  <si>
    <t>Надходження від продажу</t>
  </si>
  <si>
    <t>Податок з прибутку 25%</t>
  </si>
  <si>
    <t>Чистий річний дохід підприємства</t>
  </si>
  <si>
    <t>Прибуток до оподаткування</t>
  </si>
  <si>
    <t>ПДВ до сплати до бюджету за рік (за мінусом дебету ПДВ)</t>
  </si>
  <si>
    <t>РОЗРАХУНОК ПОТРЕБИ В ОБІГОВИХ КОШТАХ (ДЛЯ ЗАКУПІВЕЛЬ ВИТРАТНИХ МАТЕРІАЛІВ)</t>
  </si>
  <si>
    <t>Потреба в обігових коштах для закупівлі витратних матеріалів</t>
  </si>
  <si>
    <t>Таблиця 2.16.3</t>
  </si>
  <si>
    <t xml:space="preserve">Рис. 2.16.3 - Залежність NPV та акумульованих коштів від норми валового доходу </t>
  </si>
  <si>
    <t>Додаток Д1</t>
  </si>
  <si>
    <t>ПРАВИЛА КОРИСТУВАННЯ ПРОГРАМОЮ</t>
  </si>
  <si>
    <t>Фінансові розрахунки для цього бізнес-плану виконані за допомогою оригінальної</t>
  </si>
  <si>
    <t>комп'ютерної програми, написаної для цієї задачі на MS-EXCEL. Програма дода-</t>
  </si>
  <si>
    <t>Група ОФ</t>
  </si>
  <si>
    <t>До третьої групи може належати закуплене ліцензійне програмне забезпечення ВПЦ "ФАКЕЛ"</t>
  </si>
  <si>
    <t>Примітка. Розподіл на групи ОФ (основних фондів) для старого обладнання здійснено згідно</t>
  </si>
  <si>
    <t xml:space="preserve">               класифікації груп основних фондів, яка діяла до 01.01.2004 року.</t>
  </si>
  <si>
    <t>Примітка. Розподіл на групи ОФ (основних фондів) для нового обладнання здійснено згідно</t>
  </si>
  <si>
    <t>в тому числі вартість обладнання 3-ї групи основних фондів =</t>
  </si>
  <si>
    <t>в тому числі вартість обладнання 4-ї групи основних фондів =</t>
  </si>
  <si>
    <t xml:space="preserve">                класифікації груп основних фондів, яка введена в дію після  01.01.2004 року.</t>
  </si>
  <si>
    <t>ВПЦ "ФАКЕЛ" виробничі приміщення орендує в Івано-Франківському національному технічному університеті нафти і газу. Власних приміщень та земельних ділянок не має, але здійснює ремонт приміщень за власні кошти</t>
  </si>
  <si>
    <t>Програмний продукт розрахунку фінансової частини бізнес-плану розроблено в</t>
  </si>
  <si>
    <t>середовищі МS-EXCEL і структурно складається з таких листів:</t>
  </si>
  <si>
    <t>1.</t>
  </si>
  <si>
    <t>2.</t>
  </si>
  <si>
    <t>3.</t>
  </si>
  <si>
    <t>ГРФ</t>
  </si>
  <si>
    <t>- календарний графік виконання робіт;</t>
  </si>
  <si>
    <t>СПЦ</t>
  </si>
  <si>
    <t>- специфікація, обладнання, товарів та послуг</t>
  </si>
  <si>
    <t>ПРС</t>
  </si>
  <si>
    <t>- план персоналу;</t>
  </si>
  <si>
    <t>ТЕО</t>
  </si>
  <si>
    <t>- техніко-економічне обгрунтування бізнесу;</t>
  </si>
  <si>
    <t>КНК</t>
  </si>
  <si>
    <t>- порівняльні характеристики конкурентів;</t>
  </si>
  <si>
    <t>ОБГ</t>
  </si>
  <si>
    <t>- потреба в обігових коштах для закупівлі товарів;</t>
  </si>
  <si>
    <t>АМ</t>
  </si>
  <si>
    <t>ДВГ</t>
  </si>
  <si>
    <t>- графік використання коштів довготермінового кредиту;</t>
  </si>
  <si>
    <t>БРГ</t>
  </si>
  <si>
    <t>- графік погашення основного боргу;</t>
  </si>
  <si>
    <t>%1</t>
  </si>
  <si>
    <t>- графік сплати відсотків за перший рік довготермінового кредиту;</t>
  </si>
  <si>
    <t>ДОХ</t>
  </si>
  <si>
    <t>КЕШ</t>
  </si>
  <si>
    <t>- план грошових потоків по проекту;</t>
  </si>
  <si>
    <t>ЕФ</t>
  </si>
  <si>
    <t>- оцінка ефективності проекту;</t>
  </si>
  <si>
    <t>ОД</t>
  </si>
  <si>
    <t>- графіки оперативної діяльності підприємства;</t>
  </si>
  <si>
    <t>БЕЗ</t>
  </si>
  <si>
    <t>- графік беззбитковості проекту;</t>
  </si>
  <si>
    <t>РИЗ</t>
  </si>
  <si>
    <t>- аналіз ризиків проекту;</t>
  </si>
  <si>
    <t>ЧУТ</t>
  </si>
  <si>
    <t>- аналіз чутливості проекту;</t>
  </si>
  <si>
    <t>!!!</t>
  </si>
  <si>
    <t>- даний лист;</t>
  </si>
  <si>
    <t>REZ</t>
  </si>
  <si>
    <t>- зведені підсумкові показники проекту.</t>
  </si>
  <si>
    <t>На всіх листах програми застосовані такі умовності:</t>
  </si>
  <si>
    <t>Червоним кольором позначені ті клітинки, які потребують ручного введення даних.</t>
  </si>
  <si>
    <t xml:space="preserve">+Амортизація (13)              </t>
  </si>
  <si>
    <r>
      <t xml:space="preserve"> Всього надходжень</t>
    </r>
    <r>
      <rPr>
        <sz val="12"/>
        <color indexed="8"/>
        <rFont val="Arial"/>
        <family val="2"/>
      </rPr>
      <t xml:space="preserve"> (1+2+3+4)</t>
    </r>
  </si>
  <si>
    <r>
      <t xml:space="preserve"> Всього затрат </t>
    </r>
    <r>
      <rPr>
        <sz val="12"/>
        <color indexed="8"/>
        <rFont val="Arial"/>
        <family val="2"/>
      </rPr>
      <t>(8+9+10+11+12+13) - 7</t>
    </r>
  </si>
  <si>
    <r>
      <t xml:space="preserve"> Прибуток (збиток)</t>
    </r>
    <r>
      <rPr>
        <sz val="12"/>
        <color indexed="8"/>
        <rFont val="Arial"/>
        <family val="2"/>
      </rPr>
      <t xml:space="preserve"> (6-14)</t>
    </r>
  </si>
  <si>
    <r>
      <t xml:space="preserve"> Чистий прибуток</t>
    </r>
    <r>
      <rPr>
        <sz val="12"/>
        <color indexed="8"/>
        <rFont val="Arial"/>
        <family val="2"/>
      </rPr>
      <t xml:space="preserve"> (15-16)</t>
    </r>
  </si>
  <si>
    <r>
      <t xml:space="preserve"> Всього відрахувань</t>
    </r>
    <r>
      <rPr>
        <sz val="12"/>
        <color indexed="8"/>
        <rFont val="Arial"/>
        <family val="2"/>
      </rPr>
      <t xml:space="preserve"> (14+16+18) </t>
    </r>
    <r>
      <rPr>
        <b/>
        <sz val="12"/>
        <color indexed="8"/>
        <rFont val="Arial"/>
        <family val="2"/>
      </rPr>
      <t xml:space="preserve">  </t>
    </r>
  </si>
  <si>
    <r>
      <t xml:space="preserve"> Загальний грошовий потік </t>
    </r>
    <r>
      <rPr>
        <sz val="12"/>
        <color indexed="8"/>
        <rFont val="Arial"/>
        <family val="2"/>
      </rPr>
      <t xml:space="preserve">(6-19)    </t>
    </r>
    <r>
      <rPr>
        <b/>
        <sz val="12"/>
        <color indexed="8"/>
        <rFont val="Arial"/>
        <family val="2"/>
      </rPr>
      <t xml:space="preserve">   </t>
    </r>
  </si>
  <si>
    <t>Доходи від ВПЦ "ФАКЕЛ" забезпечують вчасне повернення кредиту та відсотків.</t>
  </si>
  <si>
    <t>Синім кольором відзначені ті дані або результати, які мають глобальне значення та потребують візуального аналізу та оцінки.</t>
  </si>
  <si>
    <t>На полях листів, які лежать поза межами друку, можна побачити інформацію, яка використовується як довідкова, або допоміжна при аналізі результатів.</t>
  </si>
  <si>
    <t>Додаток Д2</t>
  </si>
  <si>
    <t xml:space="preserve"> Загальна вартість проекту (власні + довг. кредити)</t>
  </si>
  <si>
    <t>Інші фінансово-економічні результати проекту</t>
  </si>
  <si>
    <t xml:space="preserve"> ПДВ для сплати до бюджету</t>
  </si>
  <si>
    <t>ПДВ</t>
  </si>
  <si>
    <t xml:space="preserve"> Сума податку з прибутку</t>
  </si>
  <si>
    <t xml:space="preserve"> Нарахування на заробітну плату</t>
  </si>
  <si>
    <t xml:space="preserve"> Всього податків</t>
  </si>
  <si>
    <t>Власні кошти на капітальні вкладення</t>
  </si>
  <si>
    <t>Власні кошти для сплати відсотків за довгостр. кредитом</t>
  </si>
  <si>
    <t>Всього відсотків банку</t>
  </si>
  <si>
    <t>Граничні межі ризику проекту</t>
  </si>
  <si>
    <t>Максимальне гранично-допустиме значення процентної ставки по довгостроковому кредиту</t>
  </si>
  <si>
    <t>Допустима межа зниження валового доходу проекту</t>
  </si>
  <si>
    <t xml:space="preserve">-Операційні (поточні) витрати        </t>
  </si>
  <si>
    <r>
      <t xml:space="preserve"> Чистий грошовий потік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з КЕШ-ФЛО (співпадає ???)</t>
    </r>
  </si>
  <si>
    <t>Довгостроковий кредит</t>
  </si>
  <si>
    <r>
      <t>ється до бізнес-плану на окремій дискеті у вигляді файла</t>
    </r>
    <r>
      <rPr>
        <b/>
        <sz val="11"/>
        <rFont val="Arial Cyr"/>
        <family val="0"/>
      </rPr>
      <t xml:space="preserve"> poligraf.xls.</t>
    </r>
  </si>
  <si>
    <t>МАТ</t>
  </si>
  <si>
    <t>ПР-ЗБ</t>
  </si>
  <si>
    <t>ВИТ</t>
  </si>
  <si>
    <t>%5</t>
  </si>
  <si>
    <t>- розрахунок відсотків за довгостроковим кредитом;</t>
  </si>
  <si>
    <t>ОФ_Н</t>
  </si>
  <si>
    <t>Н_ОБЛ</t>
  </si>
  <si>
    <t>ОФ_С</t>
  </si>
  <si>
    <t>С_ОБЛ</t>
  </si>
  <si>
    <t>- перелік старого обладнання ВПЦ;</t>
  </si>
  <si>
    <t>- перелік нового обладнання ВПЦ;</t>
  </si>
  <si>
    <t>- перелік старих основних фондів;</t>
  </si>
  <si>
    <t>- перелік нових основних фондів;</t>
  </si>
  <si>
    <t>- графік амортизації основних фондів;</t>
  </si>
  <si>
    <t>- розрахунок валових доходів;</t>
  </si>
  <si>
    <t>- розрахунок валових витрат;</t>
  </si>
  <si>
    <t>- розрахунок частки ПДВ у валових витратах;</t>
  </si>
  <si>
    <t>- звіт про прибутки-збитки;</t>
  </si>
  <si>
    <t>ЗВЕДЕНІ ПІДСУМКОВІ ПОКАЗНИКИ ПРОЕКТУ (POLIGRAF)</t>
  </si>
  <si>
    <t>Всього залучено власних коштів</t>
  </si>
  <si>
    <t xml:space="preserve"> Позичені кошти на сплату відсотків за кредит за 1-й рік</t>
  </si>
  <si>
    <t xml:space="preserve"> Власні кошти на капітальні вкладення</t>
  </si>
  <si>
    <t>до аналізу ризиків</t>
  </si>
  <si>
    <t>Зниження ВД на:</t>
  </si>
  <si>
    <t>Зниження ВВ на:</t>
  </si>
  <si>
    <t>0%</t>
  </si>
  <si>
    <t>Чиста теперішня вартість (NPV)</t>
  </si>
  <si>
    <t>Грошові кошти на рахунку</t>
  </si>
  <si>
    <t>Балансова норма рентабельності</t>
  </si>
  <si>
    <t>Внутрішня норма рентабельності</t>
  </si>
  <si>
    <t>Індекс прибутковості (PI)</t>
  </si>
  <si>
    <t>Залежність показників ефективності проекту від зниження валових витрат</t>
  </si>
  <si>
    <t>Залежність показників ефективності проекту від зниження валового доходу</t>
  </si>
  <si>
    <t>та чутливості</t>
  </si>
  <si>
    <t>до аналізу чутливості</t>
  </si>
  <si>
    <t>Податки</t>
  </si>
  <si>
    <t xml:space="preserve"> Сума довгострокового кредиту</t>
  </si>
  <si>
    <t xml:space="preserve"> Строк довгострокового кредиту</t>
  </si>
  <si>
    <t xml:space="preserve"> Процентна ставка по довгостроковому кредиту</t>
  </si>
  <si>
    <t>1 міс.</t>
  </si>
  <si>
    <t>2 міс.</t>
  </si>
  <si>
    <t>3 міс.</t>
  </si>
  <si>
    <t>4 міс.</t>
  </si>
  <si>
    <t>5 міс.</t>
  </si>
  <si>
    <t>6 міс.</t>
  </si>
  <si>
    <t>7 міс.</t>
  </si>
  <si>
    <t>8 міс.</t>
  </si>
  <si>
    <t>9 міс.</t>
  </si>
  <si>
    <t>10 міс.</t>
  </si>
  <si>
    <t>11 міс.</t>
  </si>
  <si>
    <t>12 міс.</t>
  </si>
  <si>
    <r>
      <t xml:space="preserve">Точка беззбитковості наступить через  </t>
    </r>
    <r>
      <rPr>
        <b/>
        <sz val="11"/>
        <color indexed="10"/>
        <rFont val="Arial"/>
        <family val="2"/>
      </rPr>
      <t>3 роки 3 місяці</t>
    </r>
    <r>
      <rPr>
        <b/>
        <sz val="11"/>
        <rFont val="Arial"/>
        <family val="2"/>
      </rPr>
      <t xml:space="preserve"> ---</t>
    </r>
  </si>
  <si>
    <t>Періодичність</t>
  </si>
  <si>
    <t>пільговий період</t>
  </si>
  <si>
    <t>щокварталу</t>
  </si>
  <si>
    <t>проект можна характеризувати як високоприбутковий і рекомендувати до реалізації.</t>
  </si>
  <si>
    <t>Основні показники ефективності проекту мають достатньо високі значення, за якими</t>
  </si>
  <si>
    <t>ВИРУЧКА ВІД РЕАЛІЗАЦІЇ ТА ЗАТРАТИ, грн.</t>
  </si>
  <si>
    <t>ТА ЇХ ЗАЛИШКОВА ВАРТІСТЬ НА 01.01.2006</t>
  </si>
  <si>
    <t>ІНТЕГРОВАНІ ВИРУЧКА ВІД РЕАЛІЗАЦІЇ ТА ЗАТРАТИ, грн.</t>
  </si>
  <si>
    <t>Средньомісячна заробітна плата, грн./чол.</t>
  </si>
  <si>
    <t>Місячний фонд заробітної плати, грн.</t>
  </si>
  <si>
    <t>Соціальні виплати, грн.</t>
  </si>
  <si>
    <t>Придбання технологічного та</t>
  </si>
  <si>
    <t>спеціалізованого обладнання</t>
  </si>
  <si>
    <t>Дозвільні процедури</t>
  </si>
  <si>
    <t xml:space="preserve"> Інтегрований грошовий потік (сальдо)</t>
  </si>
  <si>
    <t>за 10 років</t>
  </si>
  <si>
    <t>9-й рік</t>
  </si>
  <si>
    <t>10-й рік</t>
  </si>
  <si>
    <t>8-й рік</t>
  </si>
  <si>
    <t>4-й рік</t>
  </si>
  <si>
    <t>5-й рік</t>
  </si>
  <si>
    <t>Таблиця 2.4.2</t>
  </si>
  <si>
    <t>6-й рік</t>
  </si>
  <si>
    <t>7-й рік</t>
  </si>
  <si>
    <t xml:space="preserve"> днів</t>
  </si>
  <si>
    <t xml:space="preserve"> годин</t>
  </si>
  <si>
    <t>Групи основних фондів</t>
  </si>
  <si>
    <t>Амортизаційні відрахування по кварталах</t>
  </si>
  <si>
    <t>рік</t>
  </si>
  <si>
    <t>4-й</t>
  </si>
  <si>
    <t>5-й</t>
  </si>
  <si>
    <t xml:space="preserve">  Показники</t>
  </si>
  <si>
    <t xml:space="preserve"> Назва показника</t>
  </si>
  <si>
    <t>Тривалість робочого тижня</t>
  </si>
  <si>
    <t>Вихідні дні тижня</t>
  </si>
  <si>
    <t>Розрахункова кількість робочих днів за місяць</t>
  </si>
  <si>
    <t>Розрахункова кількість робочих днів в році</t>
  </si>
  <si>
    <t>Кількість робочих змін за добу</t>
  </si>
  <si>
    <t>Тривалість зміни</t>
  </si>
  <si>
    <t>Місячна зарплата робітників та службовців з нарахуваннями</t>
  </si>
  <si>
    <t>Місячні затрати на технічне обслуговування, ремонт і сервіс</t>
  </si>
  <si>
    <t xml:space="preserve">  Калькуляція грошових потоків</t>
  </si>
  <si>
    <t>+Довготерміновий кредит</t>
  </si>
  <si>
    <t>+Короткотермінові кредити</t>
  </si>
  <si>
    <t>+Податковий кредит</t>
  </si>
  <si>
    <t>-ПДВ</t>
  </si>
  <si>
    <t>-Амортизаційні відрахування</t>
  </si>
  <si>
    <t>-Сума податку на прибуток</t>
  </si>
  <si>
    <t xml:space="preserve">-Погашення довготермінового кредиту     </t>
  </si>
  <si>
    <t xml:space="preserve"> Чистий приведений грошовий потік (NPV)</t>
  </si>
  <si>
    <t>ЧПГ (4)</t>
  </si>
  <si>
    <t>ЧПГ (5)</t>
  </si>
  <si>
    <t>-Капітальні вкладення</t>
  </si>
  <si>
    <t>Всього</t>
  </si>
  <si>
    <t xml:space="preserve"> </t>
  </si>
  <si>
    <t>№</t>
  </si>
  <si>
    <t>п/п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</si>
  <si>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</si>
  <si>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</si>
  <si>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</si>
  <si>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</si>
  <si>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</si>
  <si>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</si>
  <si>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</si>
  <si>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</si>
  <si>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</si>
  <si>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</si>
  <si>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</si>
  <si>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и</t>
  </si>
  <si>
    <t>1-й</t>
  </si>
  <si>
    <t>2-й</t>
  </si>
  <si>
    <t>3-й</t>
  </si>
  <si>
    <t>IRR =</t>
  </si>
  <si>
    <t xml:space="preserve">  </t>
  </si>
  <si>
    <t>Позначення</t>
  </si>
  <si>
    <t>Результат</t>
  </si>
  <si>
    <t>ЧПГ (1)</t>
  </si>
  <si>
    <t>ЧПГ (2)</t>
  </si>
  <si>
    <t>ЧПГ (3)</t>
  </si>
  <si>
    <t>1-й кварт.</t>
  </si>
  <si>
    <t>2-й кварт.</t>
  </si>
  <si>
    <t>3-й кварт.</t>
  </si>
  <si>
    <t>4-й кварт.</t>
  </si>
  <si>
    <t>Розробка бізнес-плану</t>
  </si>
  <si>
    <t>Вирішення питань фінансування.</t>
  </si>
  <si>
    <t>Монтаж обладнання</t>
  </si>
  <si>
    <t>Навчання персоналу</t>
  </si>
  <si>
    <t>Введення в експлуатацію</t>
  </si>
  <si>
    <t>3-й рік</t>
  </si>
  <si>
    <t>М і с я ц і</t>
  </si>
  <si>
    <t>2-й рік</t>
  </si>
  <si>
    <t>1-й рік</t>
  </si>
  <si>
    <t>Назва етапу</t>
  </si>
  <si>
    <t>Умовні позначення:</t>
  </si>
  <si>
    <t xml:space="preserve"> - термін виконання робіт, дні</t>
  </si>
  <si>
    <t>Посада</t>
  </si>
  <si>
    <t>Сума</t>
  </si>
  <si>
    <t>Щомісячно</t>
  </si>
  <si>
    <t>Постійно</t>
  </si>
  <si>
    <t>Чисельність персоналу, чол.</t>
  </si>
  <si>
    <t>Кількість</t>
  </si>
  <si>
    <t>Назва обладнання, матеріалів, товарів та послуг</t>
  </si>
  <si>
    <t>Пуско-налагоджувальні роботи</t>
  </si>
  <si>
    <t>РАЗОМ:</t>
  </si>
  <si>
    <t>Репутація конкуруючої фірми</t>
  </si>
  <si>
    <t>Кваліфікація адміністрації</t>
  </si>
  <si>
    <t>Рівень розвитку мережі збуту</t>
  </si>
  <si>
    <t>Система просування продукції</t>
  </si>
  <si>
    <t>Фінансовий стан</t>
  </si>
  <si>
    <t>+Власні джерела фінансування</t>
  </si>
  <si>
    <t xml:space="preserve">-Погашення короткотермінового кредиту     </t>
  </si>
  <si>
    <t>Дата</t>
  </si>
  <si>
    <t>Вхідний</t>
  </si>
  <si>
    <t>залишок</t>
  </si>
  <si>
    <t>заборгованості</t>
  </si>
  <si>
    <t>проведення</t>
  </si>
  <si>
    <t>заборгованості (+),</t>
  </si>
  <si>
    <t>або сума погашення</t>
  </si>
  <si>
    <t>основного боргу (-)</t>
  </si>
  <si>
    <t>на яку</t>
  </si>
  <si>
    <t>нараховуються</t>
  </si>
  <si>
    <t>відсотки</t>
  </si>
  <si>
    <t>Період, за який</t>
  </si>
  <si>
    <t>днів</t>
  </si>
  <si>
    <t>Процентна</t>
  </si>
  <si>
    <t>ставка</t>
  </si>
  <si>
    <t>Сума відсотків</t>
  </si>
  <si>
    <t>за кредит,</t>
  </si>
  <si>
    <t>початок</t>
  </si>
  <si>
    <t>кінець</t>
  </si>
  <si>
    <t>П   Л   А   Н</t>
  </si>
  <si>
    <t>Сума,</t>
  </si>
  <si>
    <t>операції</t>
  </si>
  <si>
    <t>-Відсотки за кредитом</t>
  </si>
  <si>
    <t>грн.</t>
  </si>
  <si>
    <t>I</t>
  </si>
  <si>
    <t>Укладання кредитного договору</t>
  </si>
  <si>
    <t>Сума, грн.</t>
  </si>
  <si>
    <t>СПЕЦИФІКАЦІЯ ОБЛАДНАННЯ, ТОВАРІВ ТА ПОСЛУГ,</t>
  </si>
  <si>
    <t xml:space="preserve"> кв.м</t>
  </si>
  <si>
    <t>-Інші виплати банку</t>
  </si>
  <si>
    <t>(гр.4*гр.6*гр7) / 365</t>
  </si>
  <si>
    <t>сплати</t>
  </si>
  <si>
    <t>відсотків</t>
  </si>
  <si>
    <t>власні кошти</t>
  </si>
  <si>
    <t>Кошти для</t>
  </si>
  <si>
    <t>Таблиця 2.12.1</t>
  </si>
  <si>
    <t>Роки</t>
  </si>
  <si>
    <r>
      <t>Визначення внутрішньої норми рентабельності (</t>
    </r>
    <r>
      <rPr>
        <b/>
        <sz val="11"/>
        <rFont val="Arial"/>
        <family val="2"/>
      </rPr>
      <t>IRR</t>
    </r>
    <r>
      <rPr>
        <sz val="11"/>
        <rFont val="Arial"/>
        <family val="2"/>
      </rPr>
      <t xml:space="preserve">) за допомогою функції </t>
    </r>
    <r>
      <rPr>
        <b/>
        <sz val="11"/>
        <rFont val="Arial"/>
        <family val="2"/>
      </rPr>
      <t>ВСД (-інвестиція, чистий потік грошей до повернення кредитів)</t>
    </r>
  </si>
  <si>
    <t>Інвестиція або сума кредиту (зі знаком мінус)</t>
  </si>
  <si>
    <t>Розрахунок точки беззбитковості проекту</t>
  </si>
  <si>
    <t xml:space="preserve"> 1 рік </t>
  </si>
  <si>
    <t xml:space="preserve"> 2 рік </t>
  </si>
  <si>
    <t xml:space="preserve"> 3 рік </t>
  </si>
  <si>
    <t xml:space="preserve"> 4 рік </t>
  </si>
  <si>
    <t xml:space="preserve"> 5 рік </t>
  </si>
  <si>
    <t>Валова виручка</t>
  </si>
  <si>
    <t>Валові затрати</t>
  </si>
  <si>
    <t>Виплата відсотків</t>
  </si>
  <si>
    <t>Прибуток</t>
  </si>
  <si>
    <t>Чистий прибуток</t>
  </si>
  <si>
    <t>Умови надання позики</t>
  </si>
  <si>
    <t>років</t>
  </si>
  <si>
    <t>%</t>
  </si>
  <si>
    <t xml:space="preserve"> Cтавка дисконтування</t>
  </si>
  <si>
    <t xml:space="preserve"> Пільги щодо погашення основної частини кредиту</t>
  </si>
  <si>
    <t>Основні показники ефективності проекту</t>
  </si>
  <si>
    <t xml:space="preserve"> Сальдо розрахункового рахунку</t>
  </si>
  <si>
    <t>е</t>
  </si>
  <si>
    <t xml:space="preserve"> Теперішня вартість проекту</t>
  </si>
  <si>
    <t>PV</t>
  </si>
  <si>
    <t xml:space="preserve"> Чиста теперішня вартість</t>
  </si>
  <si>
    <t>NPV</t>
  </si>
  <si>
    <t xml:space="preserve"> Період окупності проекту</t>
  </si>
  <si>
    <t>PBP</t>
  </si>
  <si>
    <t xml:space="preserve"> Період повернення кредитних коштів</t>
  </si>
  <si>
    <t>RP</t>
  </si>
  <si>
    <t xml:space="preserve"> Балансова норма рентабельності</t>
  </si>
  <si>
    <t>ARR</t>
  </si>
  <si>
    <t xml:space="preserve"> Внутрішня норма рентабельності</t>
  </si>
  <si>
    <t>IRR</t>
  </si>
  <si>
    <t xml:space="preserve"> Індекс прибутковості проекту</t>
  </si>
  <si>
    <t>PI</t>
  </si>
  <si>
    <t>Ставка дисконту</t>
  </si>
  <si>
    <t>Чистий</t>
  </si>
  <si>
    <t>Коефіцієнт</t>
  </si>
  <si>
    <t>Чиста тепер.</t>
  </si>
  <si>
    <t>Назва</t>
  </si>
  <si>
    <t>грошовий</t>
  </si>
  <si>
    <t>дисконту-</t>
  </si>
  <si>
    <t>вартість</t>
  </si>
  <si>
    <t>валюти</t>
  </si>
  <si>
    <t>Роки реалізації проекту</t>
  </si>
  <si>
    <t>потік</t>
  </si>
  <si>
    <t>вання</t>
  </si>
  <si>
    <t>грошей</t>
  </si>
  <si>
    <t xml:space="preserve">        У процесі реалізації проекту можуть виникнути різні ризики, які будуть впливати на економічну</t>
  </si>
  <si>
    <t xml:space="preserve">ефективність   проекту.   Ризик  -  це  загроза  того, що  підприємство   понесе  можливі   додаткові </t>
  </si>
  <si>
    <t>втратити порівняно з тими, які передбачувались при прогнозуванні.</t>
  </si>
  <si>
    <t xml:space="preserve"> - ризик зменшення запланованого рівня ефективності діяльності та збільшення періоду </t>
  </si>
  <si>
    <t>окупності проекту у зв'язку з державним регулюванням цін, зміною податкового законо-</t>
  </si>
  <si>
    <t>обов'язковим страхуванням майна);</t>
  </si>
  <si>
    <t xml:space="preserve"> - ризик  зменшення  запланованого  рівня  ефективності  діяльності та  збільшення </t>
  </si>
  <si>
    <t>Процентна ставка</t>
  </si>
  <si>
    <r>
      <t xml:space="preserve">давства  </t>
    </r>
    <r>
      <rPr>
        <sz val="12"/>
        <rFont val="Arial Cyr"/>
        <family val="2"/>
      </rPr>
      <t>(</t>
    </r>
    <r>
      <rPr>
        <b/>
        <sz val="12"/>
        <rFont val="Arial Cyr"/>
        <family val="2"/>
      </rPr>
      <t xml:space="preserve">середній; </t>
    </r>
    <r>
      <rPr>
        <sz val="12"/>
        <rFont val="Arial Cyr"/>
        <family val="2"/>
      </rPr>
      <t xml:space="preserve">в Україні часто змінюються правила обкладання податками та очікуються </t>
    </r>
  </si>
  <si>
    <r>
      <t xml:space="preserve"> - ризик  несвоєчасної  поставки  обладнання   </t>
    </r>
    <r>
      <rPr>
        <sz val="12"/>
        <rFont val="Arial Cyr"/>
        <family val="2"/>
      </rPr>
      <t>(</t>
    </r>
    <r>
      <rPr>
        <b/>
        <sz val="12"/>
        <rFont val="Arial Cyr"/>
        <family val="2"/>
      </rPr>
      <t xml:space="preserve">мінімальний, </t>
    </r>
    <r>
      <rPr>
        <sz val="12"/>
        <rFont val="Arial Cyr"/>
        <family val="2"/>
      </rPr>
      <t xml:space="preserve"> так  як  закупівля  обладнання</t>
    </r>
  </si>
  <si>
    <r>
      <t xml:space="preserve"> - ризик затримок, зв'язаний з монтажем, наладкою та експлуатацією обладнання </t>
    </r>
    <r>
      <rPr>
        <b/>
        <sz val="12"/>
        <rFont val="Arial Cyr"/>
        <family val="2"/>
      </rPr>
      <t>(міні-</t>
    </r>
  </si>
  <si>
    <r>
      <t xml:space="preserve"> - ризик  втрати майна внаслідок пожежі, катастрофи, крадіжок (</t>
    </r>
    <r>
      <rPr>
        <b/>
        <sz val="12"/>
        <rFont val="Arial Cyr"/>
        <family val="2"/>
      </rPr>
      <t>мінімальний,</t>
    </r>
    <r>
      <rPr>
        <b/>
        <i/>
        <sz val="12"/>
        <rFont val="Arial Cyr"/>
        <family val="2"/>
      </rPr>
      <t xml:space="preserve"> </t>
    </r>
    <r>
      <rPr>
        <sz val="12"/>
        <rFont val="Arial Cyr"/>
        <family val="2"/>
      </rPr>
      <t xml:space="preserve">забезпечується </t>
    </r>
  </si>
  <si>
    <r>
      <t xml:space="preserve">періоду окупності проекту у зв'язку з неплатежами </t>
    </r>
    <r>
      <rPr>
        <sz val="12"/>
        <rFont val="Arial Cyr"/>
        <family val="2"/>
      </rPr>
      <t>(</t>
    </r>
    <r>
      <rPr>
        <b/>
        <sz val="12"/>
        <rFont val="Arial Cyr"/>
        <family val="2"/>
      </rPr>
      <t>середній;</t>
    </r>
    <r>
      <rPr>
        <sz val="12"/>
        <rFont val="Arial Cyr"/>
        <family val="2"/>
      </rPr>
      <t xml:space="preserve"> це пов'язано зі зменшенням</t>
    </r>
  </si>
  <si>
    <r>
      <t xml:space="preserve"> - ризик  недосягнення точки беззбитковості проекту (</t>
    </r>
    <r>
      <rPr>
        <b/>
        <sz val="12"/>
        <rFont val="Arial Cyr"/>
        <family val="2"/>
      </rPr>
      <t>середній,</t>
    </r>
    <r>
      <rPr>
        <b/>
        <i/>
        <sz val="12"/>
        <rFont val="Arial Cyr"/>
        <family val="2"/>
      </rPr>
      <t xml:space="preserve"> </t>
    </r>
    <r>
      <rPr>
        <sz val="12"/>
        <rFont val="Arial Cyr"/>
        <family val="2"/>
      </rPr>
      <t>забезпечується реальним</t>
    </r>
  </si>
  <si>
    <t>ВСЬОГО:</t>
  </si>
  <si>
    <t>I. Адміністративний персонал</t>
  </si>
  <si>
    <t>Директор</t>
  </si>
  <si>
    <t>Головний бухгалтер</t>
  </si>
  <si>
    <t>II. Виробничий персонал</t>
  </si>
  <si>
    <t>Нарахування на місячну заробітну плату, грн.</t>
  </si>
  <si>
    <t>Всього:</t>
  </si>
  <si>
    <t>Місячний фонд заробітної плати з нарах. та соц. виплатами, грн.</t>
  </si>
  <si>
    <t>Річний фонд заробітної плати, грн.</t>
  </si>
  <si>
    <t>ПОРІВНЯЛЬНІ ХАРАКТЕРИСТИКИ КОНКУРУЮЧИХ ПІДПРИЄМСТВ</t>
  </si>
  <si>
    <t>Виручка від реалізації без ПДВ</t>
  </si>
  <si>
    <t>Сума кредиту + вл.кошти + проценти =</t>
  </si>
  <si>
    <t>Примітка. Максимально можливий бал, за яким оцінюється показник = 5,00.</t>
  </si>
  <si>
    <t>`</t>
  </si>
  <si>
    <t>-Використання чист.прибутку на капвкладення</t>
  </si>
  <si>
    <t>Множник для аналізу ризиків від зміни валового доходу</t>
  </si>
  <si>
    <t>Множник для аналізу ризиків від зміни операційних затрат</t>
  </si>
  <si>
    <t>Значення показника</t>
  </si>
  <si>
    <t>Одиниця виміру</t>
  </si>
  <si>
    <t>№ п/п</t>
  </si>
  <si>
    <t>Конкурентні показники</t>
  </si>
  <si>
    <t>Вартість, грн.</t>
  </si>
  <si>
    <t>К-сть, чол.</t>
  </si>
  <si>
    <t>Зарплата за місяць, грн.</t>
  </si>
  <si>
    <t>Сума за місяць, грн.</t>
  </si>
  <si>
    <t>Періодичність виплат</t>
  </si>
  <si>
    <t>Період виплат</t>
  </si>
  <si>
    <r>
      <t xml:space="preserve">ВСЬОГО за 10 років </t>
    </r>
    <r>
      <rPr>
        <b/>
        <i/>
        <sz val="11"/>
        <color indexed="8"/>
        <rFont val="Arial"/>
        <family val="2"/>
      </rPr>
      <t>(NPV)</t>
    </r>
  </si>
  <si>
    <t>Назва показника</t>
  </si>
  <si>
    <t>Вартість ОФ 1-ї групи на початок періоду, грн.</t>
  </si>
  <si>
    <r>
      <t xml:space="preserve">Амортизаційні відрахування для </t>
    </r>
    <r>
      <rPr>
        <b/>
        <sz val="11"/>
        <rFont val="Arial Cyr"/>
        <family val="0"/>
      </rPr>
      <t>ОФ 1-ї групи</t>
    </r>
  </si>
  <si>
    <t>Вартість ОФ 2-ї групи на початок періоду, грн.</t>
  </si>
  <si>
    <r>
      <t xml:space="preserve">Амортизаційні відрахування для </t>
    </r>
    <r>
      <rPr>
        <b/>
        <sz val="11"/>
        <rFont val="Arial Cyr"/>
        <family val="0"/>
      </rPr>
      <t>ОФ 2-ї групи</t>
    </r>
  </si>
  <si>
    <t>Вартість ОФ 3-ї групи на початок періоду, грн.</t>
  </si>
  <si>
    <r>
      <t xml:space="preserve">Амортизаційні відрахування для </t>
    </r>
    <r>
      <rPr>
        <b/>
        <sz val="11"/>
        <rFont val="Arial Cyr"/>
        <family val="0"/>
      </rPr>
      <t>ОФ 3-ї групи</t>
    </r>
  </si>
  <si>
    <t>ВСЬОГО АМОРТВІДРАХУВАНЬ, грн.:</t>
  </si>
  <si>
    <t>Вартість ОФ 4-ї групи на початок періоду, грн.</t>
  </si>
  <si>
    <r>
      <t xml:space="preserve">Амортизаційні відрахування для </t>
    </r>
    <r>
      <rPr>
        <b/>
        <sz val="11"/>
        <rFont val="Arial Cyr"/>
        <family val="0"/>
      </rPr>
      <t>ОФ 4-ї групи</t>
    </r>
  </si>
  <si>
    <t xml:space="preserve">Роки дії проекту:   </t>
  </si>
  <si>
    <t>СУМАРНІ АМОРТВІДРАХУВАННЯ, грн.</t>
  </si>
  <si>
    <t>ПР-ЗБ_5</t>
  </si>
  <si>
    <t>- звіт про прибутки-збитки (форма ЄБРР);</t>
  </si>
  <si>
    <t>Доля квартальної залишкової вартості</t>
  </si>
  <si>
    <t>ПОКВАРТАЛЬНІ РОЗРАХУНКИ АМОРТИЗАЦІЇ   Роки дії проекту:</t>
  </si>
  <si>
    <t>1. Запланована дата введення в дію нових основних фондів ВПЦ "ФАКЕЛ":</t>
  </si>
  <si>
    <t>Залишкова вартість ОФ, грн.</t>
  </si>
  <si>
    <t>На дату</t>
  </si>
  <si>
    <t>До другої групи віднесені меблі ВПЦ "ФАКЕЛ"</t>
  </si>
  <si>
    <t>До четвертої групи відноситься                                         все основне комп'ютерне обладнання ВПЦ "ФАКЕЛ": комп'ютери, принтери, сканери, цифровий дуплікатор та їх програмне забезпечення</t>
  </si>
  <si>
    <t>До третьої групи віднесене                                              все основне технологічне обладнання ВПЦ "ФАКЕЛ": офсетні та флатовочні машини, дрото- та ниткошвейні машини, копіювальна рама, ксерокси, фальцовщики, преси, ножі</t>
  </si>
  <si>
    <t>Початкова вартість, грн.</t>
  </si>
  <si>
    <t>Запланована дата введення в дію</t>
  </si>
  <si>
    <t>Залишкова вартість ОФ 1-ї групи на 01.01.2006 р.</t>
  </si>
  <si>
    <t>Залишкова вартість ОФ 2-ї групи на 01.01.2006 р.</t>
  </si>
  <si>
    <t>Залишкова вартість ОФ 3-ї групи на 01.01.2006 р.</t>
  </si>
  <si>
    <t>2. Для “старих” основних фондів важливо знати їх фактичний розподіл по групах згідно старої класифікації та сумарні залишкові вартості для кожної з трьох груп основних фондів на кінець періоду (року або кварталу), що передує даті введення їх в дію.</t>
  </si>
  <si>
    <t>ГРАФІКИ ОПЕРАТИВНОЇ ДІЯЛЬНОСТІ ПІДПРИЄМСТВА</t>
  </si>
  <si>
    <t>буде здійснюватися через перевірених постачальників, є альтернативні пропозиції);</t>
  </si>
  <si>
    <r>
      <t xml:space="preserve"> - екологічний та санітарний ризики (</t>
    </r>
    <r>
      <rPr>
        <b/>
        <sz val="12"/>
        <rFont val="Arial Cyr"/>
        <family val="2"/>
      </rPr>
      <t>мінімальні,</t>
    </r>
    <r>
      <rPr>
        <b/>
        <i/>
        <sz val="12"/>
        <rFont val="Arial Cyr"/>
        <family val="2"/>
      </rPr>
      <t xml:space="preserve"> </t>
    </r>
    <r>
      <rPr>
        <sz val="12"/>
        <rFont val="Arial Cyr"/>
        <family val="2"/>
      </rPr>
      <t>забезпечується належними санітарно-</t>
    </r>
  </si>
  <si>
    <t>Для якої потреби</t>
  </si>
  <si>
    <t>Сума сплати ПДВ до бюджету</t>
  </si>
  <si>
    <t>Сума сплати податку на прибуток</t>
  </si>
  <si>
    <t>Сума всіх податків</t>
  </si>
  <si>
    <t>Рис. 1.10.1 - Графічне представлення кункурентів за різними конкурентними показниками</t>
  </si>
  <si>
    <t>Таблиця 2.5.1</t>
  </si>
  <si>
    <t>№            траншу</t>
  </si>
  <si>
    <t>Сума позики за 2006 рік</t>
  </si>
  <si>
    <t>Всього нараховано відсотків за 2006 рік</t>
  </si>
  <si>
    <t>- кінець року</t>
  </si>
  <si>
    <t>- дата першого траншу</t>
  </si>
  <si>
    <t>- кількість днів по календарю</t>
  </si>
  <si>
    <t>- кількість днів по розрахунку</t>
  </si>
  <si>
    <t>- має бути нуль !</t>
  </si>
  <si>
    <r>
      <t xml:space="preserve">         Відповідно до попередньої домовленості з кредитуючим банком досягнуто згоди на відкриття кредитної лінії на суму </t>
    </r>
    <r>
      <rPr>
        <b/>
        <sz val="12"/>
        <rFont val="Arial Cyr"/>
        <family val="0"/>
      </rPr>
      <t>330 000,00 грн</t>
    </r>
    <r>
      <rPr>
        <sz val="12"/>
        <rFont val="Arial Cyr"/>
        <family val="0"/>
      </rPr>
      <t>. для надання довгострокового технічного кредиту на 5 років під 24% річних. Сплата відсотків за користування кредитом - щокварталу. На період реконструкції та оснащення ВПЦ "ФАКЕЛ" сплата відсотків відбуватиметься за рахунок власних коштів підприємства. Після введення в дію ВПЦ сплата відсотків за користування кредитом відбуватиметься за рахунок прибутків від діяльності підприємства. Погашення основної частини боргу відбуватиметься щоквартальними платежами, максимально можливими долями з урахуванням ефективної господарської діяльності поліграфічного центру. Особливістю нарахування відсотків за кредитною лінією протягом першого року діяльності проекту є нерівномірність отримання чергового траншу кредиту як за величиною суми, так і в часовому проміжку. Ці показники залежатимуть від фактичної готовності підприємства здійснювати реконструкцію поліграфічного комплексу, тобто витримувати графік виконання робіт без збоїв.</t>
    </r>
  </si>
  <si>
    <t>Відсоток річної потреби обігових коштів, який забезпечуватиметься за рахунок доходів підприємства</t>
  </si>
  <si>
    <t>Річне забезпечення обіговими коштами, які будуть залучені за рахунок доходів підприємства</t>
  </si>
  <si>
    <t>2.6. ГРАФІК ВИКОРИСТАННЯ КОШТІВ ДОВГОТЕРМІНОВОГО КРЕДИТУ</t>
  </si>
  <si>
    <t>Рис. 2.6.1 - Графік використання коштів довготермінового кредиту</t>
  </si>
  <si>
    <t>2.7. ГРАФІК ПОГАШЕННЯ ОСНОВНОГО БОРГУ</t>
  </si>
  <si>
    <t>Рис. 2.7.1 - Графік погашення довготермінового кредиту на кінець кожного року</t>
  </si>
  <si>
    <t>2.8. ГРАФІК СПЛАТИ ВІДСОТКІВ ЗА ПЕРШИЙ РІК ДОВГОСТРОКОВОГО КРЕДИТУ</t>
  </si>
  <si>
    <t xml:space="preserve">Таке значення граничної процентної ставки по кредиту підтверджує незначний вплив її збільшення на високі </t>
  </si>
  <si>
    <t>які вносимо в таблицю 2.18.1.</t>
  </si>
  <si>
    <t>які вручну вносимо в таблицю 2.18.1.</t>
  </si>
  <si>
    <t>Проект малочутливий до збільшення дисконтної ставки, що підтверджує його достатню фінансову стійкість.</t>
  </si>
  <si>
    <t>Значення NPV та PI при різних значеннях процентної ставки по довгостроковому кредиту</t>
  </si>
  <si>
    <t>Значення чистої приведеної вартості та індекса прибутковості при різних значеннях ставки дисконту</t>
  </si>
  <si>
    <t>Фінансові показники проекту від зменшення цін на поліграфічну продукцію при сталих тиражах і витратах</t>
  </si>
  <si>
    <t>Падіння цін                                               (у % до минулорічних)</t>
  </si>
  <si>
    <t>фінансові показники проекту, а також  на відносно невелику долю кредитних ресурсів у фінансових потоках.</t>
  </si>
  <si>
    <t>- падіння цін (пропорційне)</t>
  </si>
  <si>
    <t>- базові ціни</t>
  </si>
  <si>
    <t>Базові ціни</t>
  </si>
  <si>
    <t>Допустиме пропорційне зниження рівня цін на основні поліграфічні послуги =</t>
  </si>
  <si>
    <t>Min вартість 1-ї книжки (монографії, підручника і т.п.) обсягом до 500 стор.</t>
  </si>
  <si>
    <t>Min вартість 1-го журналу ("Науковий вісник", "Розвідка і розробка ...“)</t>
  </si>
  <si>
    <t>Min вартість 1-го начального посібника в тонкій обкладинці</t>
  </si>
  <si>
    <t>Min вартість 1-го примірника навчально-методичної літератури (методичка, практикум)</t>
  </si>
  <si>
    <t>Min вартість 1-го журналу (плану роботи викладача, журналу аудиторії)</t>
  </si>
  <si>
    <t>Min вартість 1-го бланку</t>
  </si>
  <si>
    <t>Падіння цін на</t>
  </si>
  <si>
    <t>Цей фрагмент для копіювання у WORD-файл</t>
  </si>
  <si>
    <t>Тут здійснюється</t>
  </si>
  <si>
    <t>моделювання падіння цін</t>
  </si>
  <si>
    <t>Копіюйте результати в таблицю 2.18.3 зручним методом.</t>
  </si>
  <si>
    <t>ЗАГАЛЬНИЙ ВИСНОВОК ФІНАНСОВОГО АНАЛІЗУ ПРОЕКТУ</t>
  </si>
  <si>
    <r>
      <t>Розрахунок чистої теперішньої вартості грошей</t>
    </r>
    <r>
      <rPr>
        <b/>
        <i/>
        <sz val="12"/>
        <color indexed="9"/>
        <rFont val="Arial"/>
        <family val="2"/>
      </rPr>
      <t xml:space="preserve"> (NPV)</t>
    </r>
    <r>
      <rPr>
        <b/>
        <sz val="12"/>
        <color indexed="9"/>
        <rFont val="Arial"/>
        <family val="2"/>
      </rPr>
      <t xml:space="preserve"> методом дисконтування</t>
    </r>
  </si>
  <si>
    <t>(С)</t>
  </si>
  <si>
    <t>ГРАФІК БЕЗЗБИТКОВОСТІ ПРОЕКТУ</t>
  </si>
  <si>
    <t>Умовно-постійні затрати</t>
  </si>
  <si>
    <t>Умовно-змінні затрати</t>
  </si>
  <si>
    <t>Валовий дохід з урахуванням ПДВ</t>
  </si>
  <si>
    <t>Валовий дохід без ПДВ</t>
  </si>
  <si>
    <t>Таблиця 2.12.2</t>
  </si>
  <si>
    <t>Амортизаційні відрахування по періодах дії проекту, грн.</t>
  </si>
  <si>
    <t>Амортизаційні відрахування по кварталах для "старих" основних фондів  (введених в дію до 01.01.2004 року)</t>
  </si>
  <si>
    <t>Квартальна норма амортизації</t>
  </si>
  <si>
    <t>СУМАРНІ АМОРТИЗАЦІЙНІ ВІДРАХУВАННЯ ПО КВАРТАЛАХ, грн.:</t>
  </si>
  <si>
    <t>СУМАРНІ АМОРТИЗАЦІЙНІ ВІДРАХУВАННЯ ПО РОКАХ, грн.:</t>
  </si>
  <si>
    <t>Річна                              норма         амортизації</t>
  </si>
  <si>
    <r>
      <t>Частка ПДВ у валовому доході (</t>
    </r>
    <r>
      <rPr>
        <b/>
        <sz val="12"/>
        <color indexed="10"/>
        <rFont val="Arial"/>
        <family val="2"/>
      </rPr>
      <t>16,67%</t>
    </r>
    <r>
      <rPr>
        <b/>
        <sz val="12"/>
        <rFont val="Arial"/>
        <family val="2"/>
      </rPr>
      <t>)</t>
    </r>
  </si>
  <si>
    <t xml:space="preserve"> Періодичність погашення кредиту</t>
  </si>
  <si>
    <t>квартальними платежами</t>
  </si>
  <si>
    <t xml:space="preserve"> Періодичність сплати відсотків</t>
  </si>
  <si>
    <t>-1%</t>
  </si>
  <si>
    <t>-2%</t>
  </si>
  <si>
    <t>розрахунком з оптимальним набором вхідних параметрів). Визначення точки беззбитковості дивись</t>
  </si>
  <si>
    <t>Назва конкурента</t>
  </si>
  <si>
    <t>В И К О Р И С Т А Н Н Я    Д О В Г О Т Е Р М І Н О В О Г О    К Р Е Д И Т У</t>
  </si>
  <si>
    <t>П О Г А Ш Е Н Н Я    О С Н О В Н О Г О   Б О Р Г У</t>
  </si>
  <si>
    <t>Всього затрат (УПЗ + УЗЗ)</t>
  </si>
  <si>
    <t>Зниження валових затрат різко збільшує ефективність бізнесу !</t>
  </si>
  <si>
    <r>
      <t>ВИСНОВОК:</t>
    </r>
    <r>
      <rPr>
        <u val="single"/>
        <sz val="12"/>
        <color indexed="10"/>
        <rFont val="Arial Cyr"/>
        <family val="2"/>
      </rPr>
      <t xml:space="preserve"> </t>
    </r>
    <r>
      <rPr>
        <i/>
        <u val="single"/>
        <sz val="12"/>
        <color indexed="10"/>
        <rFont val="Arial Cyr"/>
        <family val="2"/>
      </rPr>
      <t>Данний бізнес відноситься до категорії</t>
    </r>
    <r>
      <rPr>
        <b/>
        <i/>
        <u val="single"/>
        <sz val="12"/>
        <color indexed="10"/>
        <rFont val="Arial Cyr"/>
        <family val="2"/>
      </rPr>
      <t xml:space="preserve"> середнього ризику</t>
    </r>
    <r>
      <rPr>
        <i/>
        <u val="single"/>
        <sz val="12"/>
        <color indexed="10"/>
        <rFont val="Arial Cyr"/>
        <family val="2"/>
      </rPr>
      <t xml:space="preserve"> за класифікацією ЄБРР.</t>
    </r>
  </si>
  <si>
    <t>з доходу</t>
  </si>
  <si>
    <t>ПОЇХАЛИ ДАЛІ</t>
  </si>
  <si>
    <t>Показники для груп основних фондів</t>
  </si>
  <si>
    <t>Квартальна   норма         амортизації</t>
  </si>
  <si>
    <t>на час реконструкції</t>
  </si>
  <si>
    <t>РОЗРАХУНОК ВІДСОТКІВ ЗА ДОВГОСТРОКОВИЙ КРЕДИТ ЗА ПЕРШИЙ РІК ДІЇ КРЕДИТНОЇ УГОДИ</t>
  </si>
  <si>
    <t>-  дата підписання кредитної угоди</t>
  </si>
  <si>
    <t>Сплата відсотків власними коштами</t>
  </si>
  <si>
    <t>Погашено боргу за 2005 рік</t>
  </si>
  <si>
    <t>Залишок непогашеного боргу, який переходить на наступний рік</t>
  </si>
  <si>
    <t>за кредит</t>
  </si>
  <si>
    <t xml:space="preserve">     </t>
  </si>
  <si>
    <t>Сюди перенесені з КЕШ річні суми погашення кредиту для зручності читання даних</t>
  </si>
  <si>
    <t>квар-</t>
  </si>
  <si>
    <t>погашення</t>
  </si>
  <si>
    <t>Кошти</t>
  </si>
  <si>
    <t>талу</t>
  </si>
  <si>
    <t>основного</t>
  </si>
  <si>
    <t>для</t>
  </si>
  <si>
    <t>на початок</t>
  </si>
  <si>
    <t>боргу</t>
  </si>
  <si>
    <t>кварталуу</t>
  </si>
  <si>
    <t>[3] * [5] / 4</t>
  </si>
  <si>
    <t>1</t>
  </si>
  <si>
    <t>2</t>
  </si>
  <si>
    <t>3</t>
  </si>
  <si>
    <t>4</t>
  </si>
  <si>
    <t>5</t>
  </si>
  <si>
    <t>6</t>
  </si>
  <si>
    <t>7</t>
  </si>
  <si>
    <t>1-й квартал</t>
  </si>
  <si>
    <t xml:space="preserve"> Рік</t>
  </si>
  <si>
    <t>2-й квартал</t>
  </si>
  <si>
    <t xml:space="preserve"> Кількість днів</t>
  </si>
  <si>
    <t>3-й квартал</t>
  </si>
  <si>
    <t xml:space="preserve"> Порядковий номер року дії проекту</t>
  </si>
  <si>
    <t>4-й квартал</t>
  </si>
  <si>
    <t xml:space="preserve"> Відсотків за 1-й рік</t>
  </si>
  <si>
    <t xml:space="preserve"> Відсотків за 2-й рік</t>
  </si>
  <si>
    <t>Всього нараховано відсотків, грн.</t>
  </si>
  <si>
    <t>з них до сплати відсотків власними коштами, грн.</t>
  </si>
  <si>
    <t>Всього погашено основного боргу, грн.</t>
  </si>
  <si>
    <t xml:space="preserve">  Назва показника</t>
  </si>
  <si>
    <t>Позна- чення</t>
  </si>
  <si>
    <t>(А)</t>
  </si>
  <si>
    <t>Сума змінних затрат</t>
  </si>
  <si>
    <t>(B)</t>
  </si>
  <si>
    <t xml:space="preserve"> Загальні виробничі затрати</t>
  </si>
  <si>
    <t>D=(B+C)</t>
  </si>
  <si>
    <t>Виробничий прибуток (збиток)</t>
  </si>
  <si>
    <t>Е=(A-D)</t>
  </si>
  <si>
    <t>Адміністративні витрати</t>
  </si>
  <si>
    <t>(F)</t>
  </si>
  <si>
    <t>Амортизаційні відрахування</t>
  </si>
  <si>
    <t>(G)</t>
  </si>
  <si>
    <t>2.5.  Г Р А Ф І К   А М О Р Т И З А Ц І Ї   О С Н О В Н И Х  Ф О Н Д І В</t>
  </si>
  <si>
    <t>Таблиця 2.5</t>
  </si>
  <si>
    <t>Продовження таблиці 2.5</t>
  </si>
  <si>
    <t>Закінчення таблиці 2.5</t>
  </si>
  <si>
    <t>Таблиця 2.6</t>
  </si>
  <si>
    <t>Таблиця 2.7</t>
  </si>
  <si>
    <t xml:space="preserve">          В табл. 2.8 поданий розрахунок відсотків за довгостроковий кредит на 2006 рік. Погашення основного боргу на час реконструкції не планується.</t>
  </si>
  <si>
    <t xml:space="preserve">          В табл. 2.9 поданий розрахунок відсотків за кредит протягом 2 … 5 років дії проекту.</t>
  </si>
  <si>
    <t>Таблиця 2.8</t>
  </si>
  <si>
    <t>Таблиця 2.9</t>
  </si>
  <si>
    <r>
      <t xml:space="preserve">2.10.  РОЗРАХУНОК ВАЛОВИХ ДОХОДІВ ПО ПРОЕКТУ </t>
    </r>
    <r>
      <rPr>
        <sz val="18"/>
        <color indexed="8"/>
        <rFont val="Arial"/>
        <family val="2"/>
      </rPr>
      <t xml:space="preserve"> (грошові надходження в грн.)</t>
    </r>
  </si>
  <si>
    <t>Таблиця 2.10</t>
  </si>
  <si>
    <r>
      <t>2.11. РОЗРАХУНОК ВАЛОВИХ ВИТРАТ ПО ПРОЕКТУ</t>
    </r>
    <r>
      <rPr>
        <sz val="18"/>
        <color indexed="8"/>
        <rFont val="Arial"/>
        <family val="2"/>
      </rPr>
      <t xml:space="preserve"> (грошові виплати в грн.)</t>
    </r>
  </si>
  <si>
    <t>Таблиця 2.11</t>
  </si>
  <si>
    <r>
      <t xml:space="preserve">2.12. РОЗРАХУНОК ЧАСТКИ ПДВ У ВАЛОВИХ ЗАТРАТАХ </t>
    </r>
    <r>
      <rPr>
        <b/>
        <sz val="14"/>
        <color indexed="8"/>
        <rFont val="Arial"/>
        <family val="2"/>
      </rPr>
      <t>НА ПРИДБАННЯ ВИТРАТНИХ МАТЕРІАЛІВ</t>
    </r>
  </si>
  <si>
    <r>
      <t xml:space="preserve">2.13. ЗВІТ ПРО ПРИБУТКИ-ЗБИТКИ ПО ПРОЕКТУ  </t>
    </r>
    <r>
      <rPr>
        <sz val="18"/>
        <rFont val="Arial"/>
        <family val="2"/>
      </rPr>
      <t>(грошові надходження та виплати в грн.)</t>
    </r>
  </si>
  <si>
    <t>Таблиця 2.13</t>
  </si>
  <si>
    <t xml:space="preserve">2.14. ПРОГНОЗНИЙ ЗВІТ ПРО ПРИБУТКИ ТА ЗБИТКИ (за формою ЄБРР) </t>
  </si>
  <si>
    <t>Таблиця 2.14</t>
  </si>
  <si>
    <t>Закінчення таблиці 2.14</t>
  </si>
  <si>
    <t>2.15. ПЛАН ГРОШОВИХ ПОТОКІВ ПО ПРОЕКТУ (КЕШ-ФЛО) в грн.</t>
  </si>
  <si>
    <t>Рисунок 2.15 - Графіки показників оперативної діяльності підприємства</t>
  </si>
  <si>
    <t>Таблиця 2.15</t>
  </si>
  <si>
    <t>Для побудови графіків оперативної діяльності підприємства використана таблиця КЕШ-ФЛО (табл. 2.15).</t>
  </si>
  <si>
    <t>2.16. ОЦІНКА ЕФЕКТИВНОСТІ ПРОЕКТУ</t>
  </si>
  <si>
    <t>Таблиця 2.16</t>
  </si>
  <si>
    <t>2.17. АНАЛІЗ РИЗИКІВ ПРОЕКТУ</t>
  </si>
  <si>
    <t>нові зміни, але явно в сторону зменшення податкового тиску);</t>
  </si>
  <si>
    <r>
      <t>мальний</t>
    </r>
    <r>
      <rPr>
        <sz val="12"/>
        <rFont val="Arial Cyr"/>
        <family val="2"/>
      </rPr>
      <t xml:space="preserve">, так як підприємство, розташоване в обласному центрі  України, має можливість швидко </t>
    </r>
  </si>
  <si>
    <t>залучити кваліфікованих спеціалістів);</t>
  </si>
  <si>
    <t>Таблиця 2.17.1</t>
  </si>
  <si>
    <t>Таблиця 2.17.2</t>
  </si>
  <si>
    <r>
      <t>Допустимий межа зниження валового доходу  -</t>
    </r>
    <r>
      <rPr>
        <b/>
        <i/>
        <u val="single"/>
        <sz val="12"/>
        <rFont val="Arial Cyr"/>
        <family val="2"/>
      </rPr>
      <t xml:space="preserve"> </t>
    </r>
    <r>
      <rPr>
        <b/>
        <i/>
        <u val="single"/>
        <sz val="12"/>
        <color indexed="10"/>
        <rFont val="Arial Cyr"/>
        <family val="0"/>
      </rPr>
      <t>26,35%</t>
    </r>
    <r>
      <rPr>
        <u val="single"/>
        <sz val="12"/>
        <rFont val="Arial Cyr"/>
        <family val="2"/>
      </rPr>
      <t>.</t>
    </r>
  </si>
  <si>
    <t>технологічними умовами, забезпеченими у ВПЦ "ФАКЕЛ" та при його правильній експлуатації;</t>
  </si>
  <si>
    <t>на рис. 2.17.</t>
  </si>
  <si>
    <t>Таблиця 2.17.3</t>
  </si>
  <si>
    <t>Таблиця 2.17.4</t>
  </si>
  <si>
    <t>Рисунок 2.17 - Графічний метод визначення точки беззбитковості проекту</t>
  </si>
  <si>
    <t xml:space="preserve">Примітка. Дисконтна ставка прийнята постійною протягом 5 років, DR =   </t>
  </si>
  <si>
    <t>Сплачений ПДВ у річних валових затратах на утримання ВПЦ (16,67%)</t>
  </si>
  <si>
    <t>Амортизаційні відрахування по кварталах для "нових" основних фондів  (введених в дію після 01.01.2004 року)</t>
  </si>
  <si>
    <t xml:space="preserve"> починаючи з третього року реалізації проекту.</t>
  </si>
  <si>
    <t>Таблиця 2.3</t>
  </si>
  <si>
    <t>1.11.  К А Л Е Н Д А Р Н И Й   Г Р А Ф І К   В И К О Н А Н Н Я   Р О Б І Т</t>
  </si>
  <si>
    <t>(E-F-G)</t>
  </si>
  <si>
    <t>Податок з прибутку</t>
  </si>
  <si>
    <t>(H)</t>
  </si>
  <si>
    <t xml:space="preserve">Погашення основного боргу </t>
  </si>
  <si>
    <t>(K)</t>
  </si>
  <si>
    <t>DKR</t>
  </si>
  <si>
    <t>Середнє значення DKR</t>
  </si>
  <si>
    <r>
      <t xml:space="preserve"> Всього надходжень</t>
    </r>
    <r>
      <rPr>
        <sz val="14"/>
        <color indexed="8"/>
        <rFont val="Arial"/>
        <family val="2"/>
      </rPr>
      <t xml:space="preserve"> без ПДВ</t>
    </r>
  </si>
  <si>
    <r>
      <t xml:space="preserve"> Чисті грошові надходження</t>
    </r>
    <r>
      <rPr>
        <sz val="14"/>
        <color indexed="8"/>
        <rFont val="Arial"/>
        <family val="2"/>
      </rPr>
      <t xml:space="preserve"> </t>
    </r>
  </si>
  <si>
    <t>2.9. РОЗРАХУНОК ВІДСОТКІВ ЗА ДОВГОСТРОКОВИЙ КРЕДИТ</t>
  </si>
  <si>
    <t>Ремонтно-оздоблювальні роботи</t>
  </si>
  <si>
    <t>Офсетна машина Romajor 312,313</t>
  </si>
  <si>
    <t>Комп'ютери</t>
  </si>
  <si>
    <t>Офсетна машина Romajor</t>
  </si>
  <si>
    <t>Копіювальна рама</t>
  </si>
  <si>
    <t>Принтери лазерні</t>
  </si>
  <si>
    <t>Дротошвейна машина</t>
  </si>
  <si>
    <t>Різограф RА 4060</t>
  </si>
  <si>
    <t>Різограф GR 3750</t>
  </si>
  <si>
    <t>Ручні степлери</t>
  </si>
  <si>
    <t>Комп'ютер POWER MACINTOSH</t>
  </si>
  <si>
    <t xml:space="preserve">Фальцовщик DUPLO DF-520 </t>
  </si>
  <si>
    <t xml:space="preserve">Флатовочна машина </t>
  </si>
  <si>
    <t>Дротошвейна машина INTROMA</t>
  </si>
  <si>
    <t>Ніж БР-72 (гідравлічний різак)</t>
  </si>
  <si>
    <t>Ниткошвейна машина</t>
  </si>
  <si>
    <t>Дротошвейна машина БШП-4</t>
  </si>
  <si>
    <t>Струменевий кольоровий принтер</t>
  </si>
  <si>
    <t>Прес позолотний настільний</t>
  </si>
  <si>
    <t>Прес 2ПБК</t>
  </si>
  <si>
    <t>Ксерокс</t>
  </si>
  <si>
    <t>Комп'ютер</t>
  </si>
  <si>
    <t>Принтер лазерний  Ф-А3</t>
  </si>
  <si>
    <t>Принтер лазерний Ф-А4</t>
  </si>
  <si>
    <t>Ліцензійне програмне забезпечення</t>
  </si>
  <si>
    <t>Ручна гільотина (40 мм)</t>
  </si>
  <si>
    <t>№п/п</t>
  </si>
  <si>
    <t>Назва матеріалу</t>
  </si>
  <si>
    <t>Папір офсетний Ф-А3</t>
  </si>
  <si>
    <t>Папір газетний Ф-А3</t>
  </si>
  <si>
    <t>100 пачок</t>
  </si>
  <si>
    <t>90 пачок</t>
  </si>
  <si>
    <t>Картон Ф-А3</t>
  </si>
  <si>
    <t>60 пачок</t>
  </si>
  <si>
    <t>50 рулонів</t>
  </si>
  <si>
    <t>Фарба чорна 6R</t>
  </si>
  <si>
    <t>60 туб.</t>
  </si>
  <si>
    <t>20 пачок</t>
  </si>
  <si>
    <t>Лідерин Ф-А1</t>
  </si>
  <si>
    <t>200 листів</t>
  </si>
  <si>
    <t>Клей</t>
  </si>
  <si>
    <t>20 кг</t>
  </si>
  <si>
    <t>Скоби зшивальні металеві</t>
  </si>
  <si>
    <t>Пластини офсетні (тип Romаjor)  Ф-А3</t>
  </si>
  <si>
    <t>2 шт.</t>
  </si>
  <si>
    <t>Плівка А3</t>
  </si>
  <si>
    <t>200 м</t>
  </si>
  <si>
    <t>Фарба офсетна</t>
  </si>
  <si>
    <t>60 кг</t>
  </si>
  <si>
    <t>Олива для блецування металу</t>
  </si>
  <si>
    <t>10 л</t>
  </si>
  <si>
    <t>Кереасин для металевих листів</t>
  </si>
  <si>
    <t>20 л</t>
  </si>
  <si>
    <t>Мерзен</t>
  </si>
  <si>
    <t>5 шт.</t>
  </si>
  <si>
    <t>Дріт для дротошвейок</t>
  </si>
  <si>
    <r>
      <t xml:space="preserve">Податковий кредит </t>
    </r>
    <r>
      <rPr>
        <sz val="12"/>
        <color indexed="12"/>
        <rFont val="Arial"/>
        <family val="2"/>
      </rPr>
      <t>(сплачений ПДВ при закупівлі витратних матеріалів + сплачений ПДВ при оплаті послуг на утримання ВПЦ)</t>
    </r>
  </si>
  <si>
    <t>Сплачений ПДВ у вартості витратних матеріалів (16,67%)</t>
  </si>
  <si>
    <t>Річні валові витрати на оплату за е/енергію, газ, воду, опалення</t>
  </si>
  <si>
    <t>Річні валові витрати на оплату за телефон, обслуговування та ремонт обладнання</t>
  </si>
  <si>
    <r>
      <t xml:space="preserve">Податковий кредит </t>
    </r>
    <r>
      <rPr>
        <sz val="12"/>
        <rFont val="Arial"/>
        <family val="2"/>
      </rPr>
      <t>(сплачений ПДВ при закупівлі витратних матеріалів + сплачений ПДВ при оплаті послуг на утримання ВПЦ)</t>
    </r>
  </si>
  <si>
    <t>Загальна вартість проекту</t>
  </si>
  <si>
    <r>
      <t xml:space="preserve"> Чистий грошовий потік</t>
    </r>
    <r>
      <rPr>
        <sz val="12"/>
        <color indexed="8"/>
        <rFont val="Arial"/>
        <family val="2"/>
      </rPr>
      <t xml:space="preserve"> (20+21-22-23-24)</t>
    </r>
  </si>
  <si>
    <t>Сума постійних затрат</t>
  </si>
  <si>
    <t>+Валовий дохід з ПДВ</t>
  </si>
  <si>
    <t>(L)</t>
  </si>
  <si>
    <t>(H+G-K-L)</t>
  </si>
  <si>
    <t>4 котушки</t>
  </si>
  <si>
    <t>Чохли зволожуючі</t>
  </si>
  <si>
    <t>Тканина для валиків</t>
  </si>
  <si>
    <t>Рідина для протравлення пластів</t>
  </si>
  <si>
    <t>50 л</t>
  </si>
  <si>
    <t>Рідина для миття валів - молочко</t>
  </si>
  <si>
    <t>доходів населення України). Нижче подана таблиця 2.17.1, в якій моделюється ситуація зниження</t>
  </si>
  <si>
    <t>валового доходу з кроком   -3% і здійснюється розрахунок показників ефективності проекту;</t>
  </si>
  <si>
    <t>-3%</t>
  </si>
  <si>
    <t>-6%</t>
  </si>
  <si>
    <t>[-26,35]%</t>
  </si>
  <si>
    <t xml:space="preserve">    В таблицы 2.17.2 моделюється ситуація зниження валових затрат підприємства з кроком -1% та</t>
  </si>
  <si>
    <t>здійснюється розрахунок показників ефективності проекту.</t>
  </si>
  <si>
    <t>2.18. АНАЛІЗ ЧУТЛИВОСТІ ПРОЕКТУ</t>
  </si>
  <si>
    <t>Таблиця 2.18.1</t>
  </si>
  <si>
    <t>Таблиця 2.18.2</t>
  </si>
  <si>
    <t>ВНОСИМО ДАНІ</t>
  </si>
  <si>
    <t>Чиста приведена вартість (NPV)</t>
  </si>
  <si>
    <t>ПІДКАЗКА ДО АНАЛІЗУ ЧУТЛИВОСТІ</t>
  </si>
  <si>
    <t>Cтавку дисконту змінюємо в розумних межах !</t>
  </si>
  <si>
    <t>Що таке розумні межі - ніхто не знає, але це десь недалеко</t>
  </si>
  <si>
    <t>"вліво" або "вправо" від прогнозного рівня інфляції</t>
  </si>
  <si>
    <t>На коливаннях інфляції одні бізнесмени багатіють, а інші,</t>
  </si>
  <si>
    <t>Рис. 2.20.1 - Залежність NPV від коливань дисконтної ставки</t>
  </si>
  <si>
    <t>яких значно більше - банкрутують.</t>
  </si>
  <si>
    <t>Процентну ставку змінюємо в розумних межах !</t>
  </si>
  <si>
    <t>"вліво" або "вправо" від діючої процентної ставки</t>
  </si>
  <si>
    <t>Коливаннях процентної ставки також непоганий бізнес для декого.</t>
  </si>
  <si>
    <t xml:space="preserve">Рис. 2.20.2  - Залежність NPV від зміни процентної ставки </t>
  </si>
  <si>
    <t>Визначаємо</t>
  </si>
  <si>
    <t xml:space="preserve">Максимальне значення процентної ставки по довгостроковому кредиту = </t>
  </si>
  <si>
    <t xml:space="preserve"> річних.</t>
  </si>
  <si>
    <t>методом підбору параметра</t>
  </si>
  <si>
    <t>Валові доходи потрібно лише нарощувати,</t>
  </si>
  <si>
    <t>а ріст валових затрат - стримувати, тоді</t>
  </si>
  <si>
    <t>бізнес буде ще більше ефективний.</t>
  </si>
  <si>
    <r>
      <t>Норма валового доходу з 1 кв.м торгової площі</t>
    </r>
    <r>
      <rPr>
        <sz val="11"/>
        <rFont val="Arial Cyr"/>
        <family val="2"/>
      </rPr>
      <t xml:space="preserve"> -</t>
    </r>
  </si>
  <si>
    <t>це придуманий емпіричний показник, який залежить</t>
  </si>
  <si>
    <t>від отриманого валового доходу з продаж,</t>
  </si>
  <si>
    <t>віднесеного до торгової площі маркету.</t>
  </si>
  <si>
    <t>Тільки підсумки реальної роботи магазину дадуть</t>
  </si>
  <si>
    <t>коректне значення цього показника.</t>
  </si>
  <si>
    <t>АНАЛІЗУЄМО РЕЗУЛЬТАТИ</t>
  </si>
  <si>
    <t>Для того, щоб графік гарно помістився</t>
  </si>
  <si>
    <t>в межах вибраного зображення, слід</t>
  </si>
  <si>
    <t>значення грошових коштів на рахунку з деяким запасом</t>
  </si>
  <si>
    <t>Після входження графіка в сітку формату потрібно направити</t>
  </si>
  <si>
    <t>стрілки до відповідних ліній !</t>
  </si>
  <si>
    <r>
      <t xml:space="preserve">Ставка дисконту </t>
    </r>
    <r>
      <rPr>
        <sz val="11"/>
        <rFont val="Arial Cyr"/>
        <family val="2"/>
      </rPr>
      <t xml:space="preserve"> змінюється на листі </t>
    </r>
    <r>
      <rPr>
        <sz val="11"/>
        <color indexed="12"/>
        <rFont val="Arial Cyr"/>
        <family val="0"/>
      </rPr>
      <t>ЕФ</t>
    </r>
  </si>
  <si>
    <r>
      <t>в клітинці [</t>
    </r>
    <r>
      <rPr>
        <sz val="11"/>
        <color indexed="12"/>
        <rFont val="Arial Cyr"/>
        <family val="0"/>
      </rPr>
      <t>Е11</t>
    </r>
    <r>
      <rPr>
        <sz val="11"/>
        <rFont val="Arial Cyr"/>
        <family val="2"/>
      </rPr>
      <t>].</t>
    </r>
  </si>
  <si>
    <r>
      <t xml:space="preserve">Змінюємо ставку дисконту - отримуємо результати </t>
    </r>
    <r>
      <rPr>
        <sz val="11"/>
        <color indexed="12"/>
        <rFont val="Arial Cyr"/>
        <family val="0"/>
      </rPr>
      <t>NPV</t>
    </r>
    <r>
      <rPr>
        <sz val="11"/>
        <rFont val="Arial Cyr"/>
        <family val="2"/>
      </rPr>
      <t xml:space="preserve"> та </t>
    </r>
    <r>
      <rPr>
        <sz val="11"/>
        <color indexed="12"/>
        <rFont val="Arial Cyr"/>
        <family val="0"/>
      </rPr>
      <t>PI</t>
    </r>
    <r>
      <rPr>
        <sz val="11"/>
        <rFont val="Arial Cyr"/>
        <family val="2"/>
      </rPr>
      <t>,</t>
    </r>
  </si>
  <si>
    <r>
      <t xml:space="preserve">Змінюємо процентну ставку - отримуємо результати </t>
    </r>
    <r>
      <rPr>
        <sz val="11"/>
        <color indexed="12"/>
        <rFont val="Arial Cyr"/>
        <family val="0"/>
      </rPr>
      <t>NPV</t>
    </r>
    <r>
      <rPr>
        <sz val="11"/>
        <rFont val="Arial Cyr"/>
        <family val="2"/>
      </rPr>
      <t xml:space="preserve"> та </t>
    </r>
    <r>
      <rPr>
        <sz val="11"/>
        <color indexed="12"/>
        <rFont val="Arial Cyr"/>
        <family val="0"/>
      </rPr>
      <t>PI</t>
    </r>
    <r>
      <rPr>
        <sz val="11"/>
        <rFont val="Arial Cyr"/>
        <family val="2"/>
      </rPr>
      <t>,</t>
    </r>
  </si>
  <si>
    <r>
      <t>Змінюйте значення в клітинці [</t>
    </r>
    <r>
      <rPr>
        <sz val="12"/>
        <color indexed="12"/>
        <rFont val="Arial Cyr"/>
        <family val="0"/>
      </rPr>
      <t>Е16</t>
    </r>
    <r>
      <rPr>
        <sz val="12"/>
        <rFont val="Arial Cyr"/>
        <family val="2"/>
      </rPr>
      <t xml:space="preserve">] </t>
    </r>
    <r>
      <rPr>
        <sz val="11"/>
        <rFont val="Arial Cyr"/>
        <family val="0"/>
      </rPr>
      <t>на листі</t>
    </r>
    <r>
      <rPr>
        <sz val="12"/>
        <rFont val="Arial Cyr"/>
        <family val="2"/>
      </rPr>
      <t xml:space="preserve"> </t>
    </r>
    <r>
      <rPr>
        <sz val="12"/>
        <color indexed="12"/>
        <rFont val="Arial Cyr"/>
        <family val="0"/>
      </rPr>
      <t>ТЕО</t>
    </r>
    <r>
      <rPr>
        <sz val="12"/>
        <rFont val="Arial Cyr"/>
        <family val="2"/>
      </rPr>
      <t>.</t>
    </r>
  </si>
  <si>
    <r>
      <t>стати курсором на вісь</t>
    </r>
    <r>
      <rPr>
        <sz val="11"/>
        <color indexed="12"/>
        <rFont val="Arial Cyr"/>
        <family val="0"/>
      </rPr>
      <t xml:space="preserve"> Y</t>
    </r>
    <r>
      <rPr>
        <sz val="11"/>
        <rFont val="Arial Cyr"/>
        <family val="2"/>
      </rPr>
      <t xml:space="preserve">, зайти в режим </t>
    </r>
    <r>
      <rPr>
        <sz val="11"/>
        <color indexed="12"/>
        <rFont val="Arial Cyr"/>
        <family val="0"/>
      </rPr>
      <t>Формат оси</t>
    </r>
    <r>
      <rPr>
        <sz val="11"/>
        <rFont val="Arial Cyr"/>
        <family val="2"/>
      </rPr>
      <t xml:space="preserve"> - </t>
    </r>
    <r>
      <rPr>
        <sz val="11"/>
        <color indexed="12"/>
        <rFont val="Arial Cyr"/>
        <family val="0"/>
      </rPr>
      <t>Шкала</t>
    </r>
  </si>
  <si>
    <r>
      <t xml:space="preserve">і встановити </t>
    </r>
    <r>
      <rPr>
        <sz val="11"/>
        <color indexed="12"/>
        <rFont val="Arial Cyr"/>
        <family val="0"/>
      </rPr>
      <t xml:space="preserve">мінімальне </t>
    </r>
    <r>
      <rPr>
        <sz val="11"/>
        <rFont val="Arial Cyr"/>
        <family val="2"/>
      </rPr>
      <t xml:space="preserve">та </t>
    </r>
    <r>
      <rPr>
        <sz val="11"/>
        <color indexed="12"/>
        <rFont val="Arial Cyr"/>
        <family val="0"/>
      </rPr>
      <t>максимальне</t>
    </r>
  </si>
  <si>
    <r>
      <t xml:space="preserve">(брати цілі значення на інтервалі шкали </t>
    </r>
    <r>
      <rPr>
        <sz val="11"/>
        <color indexed="12"/>
        <rFont val="Arial Cyr"/>
        <family val="0"/>
      </rPr>
      <t>Y</t>
    </r>
    <r>
      <rPr>
        <sz val="11"/>
        <rFont val="Arial Cyr"/>
        <family val="2"/>
      </rPr>
      <t>)</t>
    </r>
  </si>
  <si>
    <t>10 флаконів</t>
  </si>
  <si>
    <t>6 шт.</t>
  </si>
  <si>
    <t>Меблювання приміщень</t>
  </si>
  <si>
    <t>Обладнання видавничо-поліграфічного центру</t>
  </si>
  <si>
    <t>Забезпечення витратними матеріалами</t>
  </si>
  <si>
    <t>Дизайнер</t>
  </si>
  <si>
    <t>Тиражувальник</t>
  </si>
  <si>
    <t>Менеджер по збуту</t>
  </si>
  <si>
    <t>Прибиральник</t>
  </si>
  <si>
    <t>Акцент</t>
  </si>
  <si>
    <t>Пальміра плюс</t>
  </si>
  <si>
    <t>Лік</t>
  </si>
  <si>
    <t>Вест-гал</t>
  </si>
  <si>
    <t>Імста</t>
  </si>
  <si>
    <t>Асва</t>
  </si>
  <si>
    <t>Розрахунковий час роботи друкарні за одну зміну</t>
  </si>
  <si>
    <t>Кількість робочих місяців протягом першого року</t>
  </si>
  <si>
    <t>Загальна площа видавничого центру, кв.м</t>
  </si>
  <si>
    <t>Виробнича площа, кв.м</t>
  </si>
  <si>
    <t>шт.</t>
  </si>
  <si>
    <t>Річний валовий дохід ВПЦ "ФАКЕЛ" від продажу друкованої продукції</t>
  </si>
  <si>
    <t>Місячний валовий дохід  від продажу друкованої продукції</t>
  </si>
  <si>
    <t>Ксерокопіювальники</t>
  </si>
  <si>
    <t>(2000 пачок)</t>
  </si>
  <si>
    <t>Майстер-плівка Ф-А4, А3</t>
  </si>
  <si>
    <t>Заступник директора</t>
  </si>
  <si>
    <t>Допоміжні працівники (нарізка, склеювання)</t>
  </si>
  <si>
    <r>
      <t>Картон 160 г/м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– колор А3</t>
    </r>
  </si>
  <si>
    <r>
      <t>Папір ксерокопіювальний А4,  80 г/м</t>
    </r>
    <r>
      <rPr>
        <vertAlign val="superscript"/>
        <sz val="12"/>
        <rFont val="Arial"/>
        <family val="2"/>
      </rPr>
      <t>2</t>
    </r>
  </si>
  <si>
    <r>
      <t>Ватман160 г/м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Ф-А3</t>
    </r>
  </si>
  <si>
    <r>
      <t>10 м</t>
    </r>
    <r>
      <rPr>
        <vertAlign val="superscript"/>
        <sz val="12"/>
        <rFont val="Arial"/>
        <family val="2"/>
      </rPr>
      <t>2</t>
    </r>
  </si>
  <si>
    <t>Кількість, шт.</t>
  </si>
  <si>
    <t>Назва обладнання</t>
  </si>
  <si>
    <t>Принтер лазерний  Ф-А4</t>
  </si>
  <si>
    <t>НОВЕ ОБЛАДНАННЯ ВИДАВНИЧО-ПОЛІГРАФІЧНОГО ЦЕНТРУ</t>
  </si>
  <si>
    <t>1. Обладнання дільниці набору і дизайну</t>
  </si>
  <si>
    <t>2. Обладнання видавничої дільниці</t>
  </si>
  <si>
    <t>3. Обладнання дільниці оперативної поліграфії</t>
  </si>
  <si>
    <t>Залишкова вартість у грн. на 01.01.2006 р.</t>
  </si>
  <si>
    <t>СТАРЕ ОБЛАДНАННЯ ВИДАВНИЧО-ПОЛІГРАФІЧНОГО ЦЕНТРУ</t>
  </si>
  <si>
    <t>Разом:</t>
  </si>
  <si>
    <t>ВСЬОГО вартість нового обладнання, грн.:</t>
  </si>
  <si>
    <t>ВСЬОГО залишкова вартість старого обладнання, грн.:</t>
  </si>
  <si>
    <t>Олівець спеціальний</t>
  </si>
  <si>
    <t>РІЧНА ПОТРЕБА У ВИТРАТНИХ МАТЕРІАЛАХ</t>
  </si>
  <si>
    <t>ё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</si>
</sst>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#\ ##0"/>
    <numFmt numFmtId="183" formatCode="0_)"/>
    <numFmt numFmtId="184" formatCode="General_)"/>
    <numFmt numFmtId="185" formatCode="0.0000"/>
    <numFmt numFmtId="186" formatCode="#\ ###\ ##0"/>
    <numFmt numFmtId="187" formatCode="#\ ###\ ###\ ##0"/>
    <numFmt numFmtId="188" formatCode="#,##0.0"/>
    <numFmt numFmtId="189" formatCode="0.000_)"/>
    <numFmt numFmtId="190" formatCode="#.##0"/>
    <numFmt numFmtId="191" formatCode="dd\.mm\.yyyy;@"/>
    <numFmt numFmtId="192" formatCode="0.00000000"/>
    <numFmt numFmtId="193" formatCode="#,##0\ _г_р_н_."/>
    <numFmt numFmtId="194" formatCode="0.00000"/>
    <numFmt numFmtId="195" formatCode="0.000%"/>
    <numFmt numFmtId="196" formatCode="0.00_)"/>
    <numFmt numFmtId="197" formatCode="_-* #,##0.00_р_._-;\-* #,##0.00_р_._-;_-* &quot;-&quot;??_р_._-;_-@_-"/>
    <numFmt numFmtId="198" formatCode="#.##"/>
    <numFmt numFmtId="199" formatCode="#\ ##0.00"/>
    <numFmt numFmtId="200" formatCode="#\,##0"/>
    <numFmt numFmtId="201" formatCode="dd/mm/yy"/>
  </numFmts>
  <fonts count="18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0"/>
      <name val="Pragmatica"/>
      <family val="0"/>
    </font>
    <font>
      <sz val="10"/>
      <name val="Courier"/>
      <family val="1"/>
    </font>
    <font>
      <sz val="12"/>
      <name val="Pragmatica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4"/>
      <color indexed="9"/>
      <name val="Wingdings"/>
      <family val="0"/>
    </font>
    <font>
      <b/>
      <sz val="10"/>
      <color indexed="9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 Cyr"/>
      <family val="2"/>
    </font>
    <font>
      <b/>
      <sz val="14"/>
      <color indexed="9"/>
      <name val="Arial"/>
      <family val="2"/>
    </font>
    <font>
      <b/>
      <i/>
      <sz val="11"/>
      <color indexed="8"/>
      <name val="Arial"/>
      <family val="2"/>
    </font>
    <font>
      <sz val="8"/>
      <name val="Arial Cyr"/>
      <family val="0"/>
    </font>
    <font>
      <sz val="9"/>
      <name val="Arial Cyr"/>
      <family val="2"/>
    </font>
    <font>
      <b/>
      <sz val="9"/>
      <color indexed="9"/>
      <name val="Arial"/>
      <family val="2"/>
    </font>
    <font>
      <b/>
      <sz val="14"/>
      <name val="Arial Cyr"/>
      <family val="2"/>
    </font>
    <font>
      <b/>
      <sz val="14"/>
      <color indexed="10"/>
      <name val="Arial"/>
      <family val="2"/>
    </font>
    <font>
      <sz val="12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2"/>
      <color indexed="56"/>
      <name val="Arial Cyr"/>
      <family val="2"/>
    </font>
    <font>
      <b/>
      <sz val="12"/>
      <color indexed="10"/>
      <name val="Arial Cyr"/>
      <family val="0"/>
    </font>
    <font>
      <sz val="10"/>
      <name val="Aria Cyr"/>
      <family val="0"/>
    </font>
    <font>
      <sz val="10"/>
      <name val="Times New Roman Cyr"/>
      <family val="1"/>
    </font>
    <font>
      <b/>
      <sz val="12"/>
      <color indexed="9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i/>
      <sz val="13"/>
      <color indexed="8"/>
      <name val="Symbol"/>
      <family val="1"/>
    </font>
    <font>
      <b/>
      <i/>
      <sz val="13"/>
      <color indexed="8"/>
      <name val="Arial"/>
      <family val="2"/>
    </font>
    <font>
      <sz val="13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 Cyr"/>
      <family val="0"/>
    </font>
    <font>
      <b/>
      <sz val="16"/>
      <name val="Arial Cyr"/>
      <family val="2"/>
    </font>
    <font>
      <b/>
      <i/>
      <sz val="12"/>
      <name val="Arial Cyr"/>
      <family val="2"/>
    </font>
    <font>
      <b/>
      <sz val="11"/>
      <color indexed="9"/>
      <name val="Arial Cyr"/>
      <family val="2"/>
    </font>
    <font>
      <b/>
      <i/>
      <u val="single"/>
      <sz val="12"/>
      <name val="Arial Cyr"/>
      <family val="2"/>
    </font>
    <font>
      <u val="single"/>
      <sz val="12"/>
      <name val="Arial Cyr"/>
      <family val="2"/>
    </font>
    <font>
      <sz val="10"/>
      <color indexed="9"/>
      <name val="Arial Cyr"/>
      <family val="2"/>
    </font>
    <font>
      <u val="single"/>
      <sz val="10"/>
      <color indexed="9"/>
      <name val="Arial Cyr"/>
      <family val="2"/>
    </font>
    <font>
      <b/>
      <sz val="18"/>
      <name val="Arial"/>
      <family val="2"/>
    </font>
    <font>
      <sz val="10"/>
      <color indexed="9"/>
      <name val="Times New Roman Cyr"/>
      <family val="1"/>
    </font>
    <font>
      <b/>
      <sz val="13"/>
      <color indexed="10"/>
      <name val="Arial"/>
      <family val="2"/>
    </font>
    <font>
      <b/>
      <sz val="18"/>
      <color indexed="8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 Cyr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3"/>
      <color indexed="8"/>
      <name val="Arial"/>
      <family val="2"/>
    </font>
    <font>
      <b/>
      <u val="single"/>
      <sz val="12"/>
      <color indexed="10"/>
      <name val="Arial Cyr"/>
      <family val="2"/>
    </font>
    <font>
      <u val="single"/>
      <sz val="12"/>
      <color indexed="10"/>
      <name val="Arial Cyr"/>
      <family val="2"/>
    </font>
    <font>
      <i/>
      <u val="single"/>
      <sz val="12"/>
      <color indexed="10"/>
      <name val="Arial Cyr"/>
      <family val="2"/>
    </font>
    <font>
      <b/>
      <i/>
      <u val="single"/>
      <sz val="12"/>
      <color indexed="10"/>
      <name val="Arial Cyr"/>
      <family val="2"/>
    </font>
    <font>
      <b/>
      <sz val="12"/>
      <color indexed="53"/>
      <name val="Arial Cyr"/>
      <family val="0"/>
    </font>
    <font>
      <b/>
      <sz val="12"/>
      <color indexed="50"/>
      <name val="Arial"/>
      <family val="2"/>
    </font>
    <font>
      <sz val="12"/>
      <color indexed="12"/>
      <name val="Arial"/>
      <family val="2"/>
    </font>
    <font>
      <b/>
      <i/>
      <sz val="13"/>
      <color indexed="12"/>
      <name val="Symbol"/>
      <family val="1"/>
    </font>
    <font>
      <b/>
      <sz val="14"/>
      <color indexed="12"/>
      <name val="Arial"/>
      <family val="2"/>
    </font>
    <font>
      <b/>
      <i/>
      <sz val="13"/>
      <color indexed="12"/>
      <name val="Arial"/>
      <family val="2"/>
    </font>
    <font>
      <b/>
      <sz val="12"/>
      <color indexed="12"/>
      <name val="Arial Cyr"/>
      <family val="0"/>
    </font>
    <font>
      <sz val="10"/>
      <color indexed="12"/>
      <name val="Arial Cyr"/>
      <family val="0"/>
    </font>
    <font>
      <vertAlign val="superscript"/>
      <sz val="12"/>
      <name val="Arial"/>
      <family val="2"/>
    </font>
    <font>
      <b/>
      <sz val="12"/>
      <color indexed="18"/>
      <name val="Arial Cyr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 Cyr"/>
      <family val="0"/>
    </font>
    <font>
      <sz val="12"/>
      <color indexed="12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8"/>
      <name val="Arial Cyr"/>
      <family val="2"/>
    </font>
    <font>
      <b/>
      <sz val="15"/>
      <name val="Arial Cyr"/>
      <family val="0"/>
    </font>
    <font>
      <sz val="18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8"/>
      <color indexed="8"/>
      <name val="Arial"/>
      <family val="2"/>
    </font>
    <font>
      <b/>
      <sz val="16"/>
      <name val="Arial"/>
      <family val="2"/>
    </font>
    <font>
      <b/>
      <sz val="11"/>
      <color indexed="12"/>
      <name val="Arial Cyr"/>
      <family val="2"/>
    </font>
    <font>
      <sz val="13"/>
      <color indexed="8"/>
      <name val="Arial"/>
      <family val="2"/>
    </font>
    <font>
      <b/>
      <sz val="16"/>
      <color indexed="10"/>
      <name val="Arial Cyr"/>
      <family val="0"/>
    </font>
    <font>
      <sz val="11"/>
      <color indexed="12"/>
      <name val="Arial"/>
      <family val="2"/>
    </font>
    <font>
      <b/>
      <i/>
      <sz val="14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 Cyr"/>
      <family val="2"/>
    </font>
    <font>
      <b/>
      <i/>
      <sz val="13"/>
      <name val="Arial"/>
      <family val="2"/>
    </font>
    <font>
      <sz val="11"/>
      <color indexed="12"/>
      <name val="Arial Cyr"/>
      <family val="0"/>
    </font>
    <font>
      <sz val="12"/>
      <color indexed="53"/>
      <name val="Arial Cyr"/>
      <family val="2"/>
    </font>
    <font>
      <b/>
      <i/>
      <sz val="12"/>
      <color indexed="12"/>
      <name val="Arial Cyr"/>
      <family val="0"/>
    </font>
    <font>
      <b/>
      <i/>
      <sz val="13"/>
      <name val="Symbol"/>
      <family val="1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sz val="12"/>
      <color indexed="8"/>
      <name val="Arial Cyr"/>
      <family val="0"/>
    </font>
    <font>
      <sz val="16.75"/>
      <color indexed="8"/>
      <name val="Arial Cyr"/>
      <family val="0"/>
    </font>
    <font>
      <sz val="8"/>
      <color indexed="8"/>
      <name val="Arial Cyr"/>
      <family val="0"/>
    </font>
    <font>
      <b/>
      <sz val="8.25"/>
      <color indexed="8"/>
      <name val="Arial Cyr"/>
      <family val="0"/>
    </font>
    <font>
      <sz val="9.5"/>
      <color indexed="8"/>
      <name val="Arial Cyr"/>
      <family val="0"/>
    </font>
    <font>
      <b/>
      <sz val="11.25"/>
      <color indexed="10"/>
      <name val="Arial Cyr"/>
      <family val="0"/>
    </font>
    <font>
      <b/>
      <sz val="11.25"/>
      <color indexed="8"/>
      <name val="Arial Cyr"/>
      <family val="0"/>
    </font>
    <font>
      <b/>
      <sz val="10.25"/>
      <color indexed="10"/>
      <name val="Arial Cyr"/>
      <family val="0"/>
    </font>
    <font>
      <sz val="9.25"/>
      <color indexed="8"/>
      <name val="Arial Cyr"/>
      <family val="0"/>
    </font>
    <font>
      <sz val="1.5"/>
      <color indexed="8"/>
      <name val="Arial Cyr"/>
      <family val="0"/>
    </font>
    <font>
      <b/>
      <sz val="1"/>
      <color indexed="10"/>
      <name val="Arial Cyr"/>
      <family val="0"/>
    </font>
    <font>
      <sz val="1"/>
      <color indexed="8"/>
      <name val="Arial Cyr"/>
      <family val="0"/>
    </font>
    <font>
      <b/>
      <sz val="1"/>
      <color indexed="8"/>
      <name val="Arial Cyr"/>
      <family val="0"/>
    </font>
    <font>
      <b/>
      <sz val="8.25"/>
      <color indexed="10"/>
      <name val="Arial Cyr"/>
      <family val="0"/>
    </font>
    <font>
      <sz val="8.25"/>
      <color indexed="8"/>
      <name val="Arial Cyr"/>
      <family val="0"/>
    </font>
    <font>
      <b/>
      <sz val="9.5"/>
      <color indexed="8"/>
      <name val="Arial Cyr"/>
      <family val="0"/>
    </font>
    <font>
      <b/>
      <sz val="9.2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10"/>
      <name val="Arial Cyr"/>
      <family val="0"/>
    </font>
    <font>
      <sz val="10"/>
      <color indexed="8"/>
      <name val="Times New Roman Cyr"/>
      <family val="0"/>
    </font>
    <font>
      <sz val="12"/>
      <color indexed="8"/>
      <name val="Aria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hair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thin"/>
      <right style="hair"/>
      <top style="medium">
        <color indexed="9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thick">
        <color indexed="9"/>
      </top>
      <bottom style="double"/>
    </border>
    <border>
      <left>
        <color indexed="63"/>
      </left>
      <right style="thin"/>
      <top style="thick">
        <color indexed="9"/>
      </top>
      <bottom style="double"/>
    </border>
    <border>
      <left style="thin"/>
      <right style="medium">
        <color indexed="9"/>
      </right>
      <top style="thin"/>
      <bottom style="thin"/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/>
      <top style="medium">
        <color indexed="9"/>
      </top>
      <bottom style="medium">
        <color indexed="9"/>
      </bottom>
    </border>
    <border>
      <left style="thin"/>
      <right style="thin"/>
      <top style="thin"/>
      <bottom style="medium"/>
    </border>
    <border>
      <left style="thin"/>
      <right style="medium">
        <color indexed="9"/>
      </right>
      <top style="medium">
        <color indexed="9"/>
      </top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medium">
        <color indexed="9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>
        <color indexed="9"/>
      </right>
      <top style="hair">
        <color indexed="9"/>
      </top>
      <bottom style="hair">
        <color indexed="9"/>
      </bottom>
    </border>
    <border>
      <left style="medium">
        <color indexed="9"/>
      </left>
      <right style="medium">
        <color indexed="9"/>
      </right>
      <top style="hair">
        <color indexed="9"/>
      </top>
      <bottom style="hair">
        <color indexed="9"/>
      </bottom>
    </border>
    <border>
      <left style="medium">
        <color indexed="9"/>
      </left>
      <right style="thin"/>
      <top style="hair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hair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 style="thick">
        <color indexed="9"/>
      </top>
      <bottom>
        <color indexed="63"/>
      </bottom>
    </border>
    <border>
      <left>
        <color indexed="63"/>
      </left>
      <right style="thin"/>
      <top style="thick">
        <color indexed="9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ck">
        <color indexed="9"/>
      </top>
      <bottom>
        <color indexed="63"/>
      </bottom>
    </border>
    <border>
      <left style="hair"/>
      <right style="thin"/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thin"/>
      <right style="medium">
        <color indexed="9"/>
      </right>
      <top style="medium">
        <color indexed="9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thin"/>
      <bottom style="medium">
        <color indexed="9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>
        <color indexed="9"/>
      </left>
      <right style="medium">
        <color indexed="9"/>
      </right>
      <top style="thick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double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thick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medium">
        <color indexed="9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4" fillId="2" borderId="0" applyNumberFormat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5" fillId="14" borderId="0" applyNumberFormat="0" applyBorder="0" applyAlignment="0" applyProtection="0"/>
    <xf numFmtId="0" fontId="165" fillId="15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6" fillId="26" borderId="0" applyNumberFormat="0" applyBorder="0" applyAlignment="0" applyProtection="0"/>
    <xf numFmtId="0" fontId="167" fillId="27" borderId="1" applyNumberFormat="0" applyAlignment="0" applyProtection="0"/>
    <xf numFmtId="0" fontId="1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0" fillId="29" borderId="0" applyNumberFormat="0" applyBorder="0" applyAlignment="0" applyProtection="0"/>
    <xf numFmtId="0" fontId="171" fillId="0" borderId="3" applyNumberFormat="0" applyFill="0" applyAlignment="0" applyProtection="0"/>
    <xf numFmtId="0" fontId="172" fillId="0" borderId="4" applyNumberFormat="0" applyFill="0" applyAlignment="0" applyProtection="0"/>
    <xf numFmtId="0" fontId="173" fillId="0" borderId="5" applyNumberFormat="0" applyFill="0" applyAlignment="0" applyProtection="0"/>
    <xf numFmtId="0" fontId="1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4" fillId="30" borderId="1" applyNumberFormat="0" applyAlignment="0" applyProtection="0"/>
    <xf numFmtId="0" fontId="175" fillId="0" borderId="6" applyNumberFormat="0" applyFill="0" applyAlignment="0" applyProtection="0"/>
    <xf numFmtId="0" fontId="176" fillId="31" borderId="0" applyNumberFormat="0" applyBorder="0" applyAlignment="0" applyProtection="0"/>
    <xf numFmtId="183" fontId="6" fillId="0" borderId="0">
      <alignment/>
      <protection/>
    </xf>
    <xf numFmtId="0" fontId="0" fillId="32" borderId="7" applyNumberFormat="0" applyFont="0" applyAlignment="0" applyProtection="0"/>
    <xf numFmtId="0" fontId="177" fillId="27" borderId="8" applyNumberFormat="0" applyAlignment="0" applyProtection="0"/>
    <xf numFmtId="9" fontId="0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9" applyNumberFormat="0" applyFill="0" applyAlignment="0" applyProtection="0"/>
    <xf numFmtId="0" fontId="18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97" fontId="0" fillId="0" borderId="0" applyFont="0" applyFill="0" applyBorder="0" applyAlignment="0" applyProtection="0"/>
  </cellStyleXfs>
  <cellXfs count="13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" fontId="15" fillId="0" borderId="0" xfId="0" applyNumberFormat="1" applyFont="1" applyFill="1" applyAlignment="1">
      <alignment vertical="center"/>
    </xf>
    <xf numFmtId="183" fontId="28" fillId="0" borderId="20" xfId="57" applyFont="1" applyFill="1" applyBorder="1" applyAlignment="1">
      <alignment horizontal="left" vertical="center"/>
      <protection/>
    </xf>
    <xf numFmtId="0" fontId="15" fillId="0" borderId="0" xfId="68" applyFont="1" applyAlignment="1">
      <alignment vertical="center"/>
      <protection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14" fillId="0" borderId="20" xfId="0" applyFont="1" applyBorder="1" applyAlignment="1">
      <alignment horizontal="left"/>
    </xf>
    <xf numFmtId="187" fontId="15" fillId="34" borderId="0" xfId="68" applyNumberFormat="1" applyFont="1" applyFill="1" applyAlignment="1">
      <alignment vertical="center"/>
      <protection/>
    </xf>
    <xf numFmtId="187" fontId="15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183" fontId="15" fillId="0" borderId="0" xfId="57" applyFont="1" applyAlignment="1">
      <alignment vertical="center"/>
      <protection/>
    </xf>
    <xf numFmtId="0" fontId="15" fillId="0" borderId="0" xfId="67" applyFont="1" applyAlignment="1">
      <alignment vertical="center"/>
      <protection/>
    </xf>
    <xf numFmtId="183" fontId="15" fillId="35" borderId="0" xfId="57" applyFont="1" applyFill="1" applyAlignment="1">
      <alignment vertical="center"/>
      <protection/>
    </xf>
    <xf numFmtId="0" fontId="21" fillId="36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0" fillId="0" borderId="0" xfId="69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4" fillId="0" borderId="0" xfId="0" applyFont="1" applyAlignment="1">
      <alignment vertical="center"/>
    </xf>
    <xf numFmtId="4" fontId="4" fillId="0" borderId="24" xfId="0" applyNumberFormat="1" applyFont="1" applyBorder="1" applyAlignment="1">
      <alignment vertical="center"/>
    </xf>
    <xf numFmtId="14" fontId="43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4" fontId="4" fillId="33" borderId="29" xfId="0" applyNumberFormat="1" applyFont="1" applyFill="1" applyBorder="1" applyAlignment="1">
      <alignment vertical="center"/>
    </xf>
    <xf numFmtId="1" fontId="4" fillId="33" borderId="29" xfId="0" applyNumberFormat="1" applyFont="1" applyFill="1" applyBorder="1" applyAlignment="1">
      <alignment horizontal="center" vertical="center"/>
    </xf>
    <xf numFmtId="10" fontId="4" fillId="33" borderId="29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1" fontId="21" fillId="36" borderId="3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Continuous"/>
    </xf>
    <xf numFmtId="1" fontId="21" fillId="33" borderId="0" xfId="0" applyNumberFormat="1" applyFont="1" applyFill="1" applyBorder="1" applyAlignment="1">
      <alignment horizontal="centerContinuous"/>
    </xf>
    <xf numFmtId="1" fontId="21" fillId="36" borderId="31" xfId="0" applyNumberFormat="1" applyFont="1" applyFill="1" applyBorder="1" applyAlignment="1">
      <alignment horizontal="center"/>
    </xf>
    <xf numFmtId="0" fontId="22" fillId="37" borderId="32" xfId="0" applyFont="1" applyFill="1" applyBorder="1" applyAlignment="1">
      <alignment horizontal="center"/>
    </xf>
    <xf numFmtId="0" fontId="22" fillId="37" borderId="33" xfId="0" applyFont="1" applyFill="1" applyBorder="1" applyAlignment="1">
      <alignment horizontal="center"/>
    </xf>
    <xf numFmtId="0" fontId="22" fillId="37" borderId="34" xfId="0" applyFont="1" applyFill="1" applyBorder="1" applyAlignment="1">
      <alignment horizontal="center"/>
    </xf>
    <xf numFmtId="0" fontId="22" fillId="37" borderId="3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/>
    </xf>
    <xf numFmtId="0" fontId="43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3" fontId="27" fillId="0" borderId="36" xfId="57" applyFont="1" applyFill="1" applyBorder="1" applyAlignment="1" applyProtection="1" quotePrefix="1">
      <alignment horizontal="center" vertical="center"/>
      <protection locked="0"/>
    </xf>
    <xf numFmtId="183" fontId="27" fillId="0" borderId="25" xfId="57" applyFont="1" applyFill="1" applyBorder="1" applyAlignment="1" applyProtection="1" quotePrefix="1">
      <alignment horizontal="center" vertical="center"/>
      <protection locked="0"/>
    </xf>
    <xf numFmtId="183" fontId="27" fillId="0" borderId="37" xfId="57" applyFont="1" applyFill="1" applyBorder="1" applyAlignment="1" applyProtection="1" quotePrefix="1">
      <alignment horizontal="center" vertical="center"/>
      <protection locked="0"/>
    </xf>
    <xf numFmtId="183" fontId="27" fillId="0" borderId="38" xfId="57" applyFont="1" applyFill="1" applyBorder="1" applyAlignment="1" applyProtection="1" quotePrefix="1">
      <alignment horizontal="center" vertical="center"/>
      <protection locked="0"/>
    </xf>
    <xf numFmtId="3" fontId="42" fillId="35" borderId="39" xfId="57" applyNumberFormat="1" applyFont="1" applyFill="1" applyBorder="1" applyAlignment="1" applyProtection="1">
      <alignment horizontal="right" vertical="center"/>
      <protection locked="0"/>
    </xf>
    <xf numFmtId="0" fontId="25" fillId="0" borderId="0" xfId="64" applyFont="1" applyFill="1" applyBorder="1" applyAlignment="1">
      <alignment horizontal="centerContinuous" vertical="center"/>
      <protection/>
    </xf>
    <xf numFmtId="0" fontId="27" fillId="0" borderId="0" xfId="64" applyFont="1" applyFill="1" applyBorder="1" applyAlignment="1">
      <alignment horizontal="centerContinuous" vertical="center"/>
      <protection/>
    </xf>
    <xf numFmtId="183" fontId="29" fillId="0" borderId="0" xfId="57" applyFont="1" applyAlignment="1">
      <alignment vertical="center"/>
      <protection/>
    </xf>
    <xf numFmtId="183" fontId="23" fillId="0" borderId="40" xfId="57" applyFont="1" applyFill="1" applyBorder="1" applyAlignment="1" applyProtection="1" quotePrefix="1">
      <alignment horizontal="left" vertical="center"/>
      <protection locked="0"/>
    </xf>
    <xf numFmtId="183" fontId="23" fillId="0" borderId="20" xfId="57" applyFont="1" applyFill="1" applyBorder="1" applyAlignment="1">
      <alignment horizontal="centerContinuous" vertical="center"/>
      <protection/>
    </xf>
    <xf numFmtId="0" fontId="20" fillId="0" borderId="41" xfId="65" applyFont="1" applyFill="1" applyBorder="1" applyAlignment="1">
      <alignment horizontal="center" vertical="center"/>
      <protection/>
    </xf>
    <xf numFmtId="183" fontId="23" fillId="0" borderId="40" xfId="57" applyFont="1" applyFill="1" applyBorder="1" applyAlignment="1" applyProtection="1" quotePrefix="1">
      <alignment vertical="center"/>
      <protection locked="0"/>
    </xf>
    <xf numFmtId="183" fontId="23" fillId="0" borderId="42" xfId="57" applyFont="1" applyFill="1" applyBorder="1" applyAlignment="1" applyProtection="1" quotePrefix="1">
      <alignment vertical="center"/>
      <protection locked="0"/>
    </xf>
    <xf numFmtId="0" fontId="21" fillId="0" borderId="42" xfId="65" applyFont="1" applyFill="1" applyBorder="1" applyAlignment="1">
      <alignment vertical="center"/>
      <protection/>
    </xf>
    <xf numFmtId="183" fontId="23" fillId="0" borderId="42" xfId="57" applyFont="1" applyFill="1" applyBorder="1" applyAlignment="1" applyProtection="1" quotePrefix="1">
      <alignment horizontal="left" vertical="center"/>
      <protection locked="0"/>
    </xf>
    <xf numFmtId="0" fontId="21" fillId="0" borderId="42" xfId="65" applyFont="1" applyFill="1" applyBorder="1" applyAlignment="1">
      <alignment horizontal="left" vertical="center"/>
      <protection/>
    </xf>
    <xf numFmtId="183" fontId="23" fillId="0" borderId="43" xfId="57" applyFont="1" applyFill="1" applyBorder="1" applyAlignment="1" applyProtection="1" quotePrefix="1">
      <alignment horizontal="left" vertical="center"/>
      <protection locked="0"/>
    </xf>
    <xf numFmtId="183" fontId="23" fillId="0" borderId="44" xfId="57" applyFont="1" applyFill="1" applyBorder="1" applyAlignment="1" applyProtection="1" quotePrefix="1">
      <alignment horizontal="left" vertical="center"/>
      <protection locked="0"/>
    </xf>
    <xf numFmtId="0" fontId="21" fillId="0" borderId="44" xfId="65" applyFont="1" applyFill="1" applyBorder="1" applyAlignment="1">
      <alignment horizontal="left" vertical="center"/>
      <protection/>
    </xf>
    <xf numFmtId="183" fontId="23" fillId="0" borderId="45" xfId="57" applyFont="1" applyFill="1" applyBorder="1" applyAlignment="1">
      <alignment horizontal="centerContinuous" vertical="center"/>
      <protection/>
    </xf>
    <xf numFmtId="3" fontId="25" fillId="0" borderId="46" xfId="57" applyNumberFormat="1" applyFont="1" applyFill="1" applyBorder="1" applyAlignment="1" applyProtection="1">
      <alignment horizontal="centerContinuous" vertical="center"/>
      <protection locked="0"/>
    </xf>
    <xf numFmtId="0" fontId="20" fillId="0" borderId="47" xfId="65" applyFont="1" applyFill="1" applyBorder="1" applyAlignment="1">
      <alignment horizontal="centerContinuous" vertical="center"/>
      <protection/>
    </xf>
    <xf numFmtId="183" fontId="29" fillId="0" borderId="0" xfId="57" applyFont="1" applyFill="1" applyAlignment="1">
      <alignment vertical="center"/>
      <protection/>
    </xf>
    <xf numFmtId="183" fontId="23" fillId="0" borderId="42" xfId="57" applyFont="1" applyFill="1" applyBorder="1" applyAlignment="1">
      <alignment horizontal="left" vertical="center"/>
      <protection/>
    </xf>
    <xf numFmtId="0" fontId="21" fillId="0" borderId="20" xfId="65" applyFont="1" applyFill="1" applyBorder="1" applyAlignment="1">
      <alignment horizontal="left" vertical="center"/>
      <protection/>
    </xf>
    <xf numFmtId="38" fontId="57" fillId="0" borderId="12" xfId="57" applyNumberFormat="1" applyFont="1" applyFill="1" applyBorder="1" applyAlignment="1" applyProtection="1">
      <alignment horizontal="centerContinuous" vertical="center"/>
      <protection locked="0"/>
    </xf>
    <xf numFmtId="186" fontId="34" fillId="0" borderId="29" xfId="57" applyNumberFormat="1" applyFont="1" applyFill="1" applyBorder="1" applyAlignment="1" applyProtection="1">
      <alignment horizontal="center" vertical="center"/>
      <protection locked="0"/>
    </xf>
    <xf numFmtId="0" fontId="20" fillId="0" borderId="41" xfId="65" applyFont="1" applyFill="1" applyBorder="1" applyAlignment="1" quotePrefix="1">
      <alignment horizontal="center" vertical="center"/>
      <protection/>
    </xf>
    <xf numFmtId="183" fontId="23" fillId="0" borderId="40" xfId="57" applyFont="1" applyFill="1" applyBorder="1" applyAlignment="1" applyProtection="1">
      <alignment horizontal="left" vertical="center"/>
      <protection locked="0"/>
    </xf>
    <xf numFmtId="183" fontId="58" fillId="0" borderId="12" xfId="57" applyFont="1" applyFill="1" applyBorder="1" applyAlignment="1">
      <alignment horizontal="centerContinuous" vertical="center"/>
      <protection/>
    </xf>
    <xf numFmtId="0" fontId="28" fillId="0" borderId="42" xfId="65" applyFont="1" applyFill="1" applyBorder="1" applyAlignment="1">
      <alignment horizontal="left" vertical="center"/>
      <protection/>
    </xf>
    <xf numFmtId="0" fontId="28" fillId="0" borderId="20" xfId="65" applyFont="1" applyFill="1" applyBorder="1" applyAlignment="1">
      <alignment horizontal="left" vertical="center"/>
      <protection/>
    </xf>
    <xf numFmtId="0" fontId="58" fillId="0" borderId="12" xfId="67" applyFont="1" applyFill="1" applyBorder="1" applyAlignment="1">
      <alignment horizontal="centerContinuous" vertical="center"/>
      <protection/>
    </xf>
    <xf numFmtId="188" fontId="34" fillId="0" borderId="29" xfId="65" applyNumberFormat="1" applyFont="1" applyFill="1" applyBorder="1" applyAlignment="1">
      <alignment horizontal="center" vertical="center"/>
      <protection/>
    </xf>
    <xf numFmtId="0" fontId="25" fillId="0" borderId="41" xfId="65" applyFont="1" applyFill="1" applyBorder="1" applyAlignment="1">
      <alignment horizontal="center" vertical="center"/>
      <protection/>
    </xf>
    <xf numFmtId="183" fontId="28" fillId="0" borderId="42" xfId="57" applyFont="1" applyFill="1" applyBorder="1" applyAlignment="1">
      <alignment horizontal="left" vertical="center"/>
      <protection/>
    </xf>
    <xf numFmtId="10" fontId="34" fillId="0" borderId="29" xfId="57" applyNumberFormat="1" applyFont="1" applyFill="1" applyBorder="1" applyAlignment="1" applyProtection="1">
      <alignment horizontal="center" vertical="center"/>
      <protection locked="0"/>
    </xf>
    <xf numFmtId="183" fontId="23" fillId="0" borderId="43" xfId="57" applyFont="1" applyFill="1" applyBorder="1" applyAlignment="1" applyProtection="1">
      <alignment horizontal="left" vertical="center"/>
      <protection locked="0"/>
    </xf>
    <xf numFmtId="0" fontId="28" fillId="0" borderId="44" xfId="65" applyFont="1" applyFill="1" applyBorder="1" applyAlignment="1">
      <alignment horizontal="left" vertical="center"/>
      <protection/>
    </xf>
    <xf numFmtId="0" fontId="28" fillId="0" borderId="45" xfId="65" applyFont="1" applyFill="1" applyBorder="1" applyAlignment="1">
      <alignment horizontal="left" vertical="center"/>
      <protection/>
    </xf>
    <xf numFmtId="0" fontId="58" fillId="0" borderId="48" xfId="67" applyFont="1" applyFill="1" applyBorder="1" applyAlignment="1">
      <alignment horizontal="centerContinuous" vertical="center"/>
      <protection/>
    </xf>
    <xf numFmtId="4" fontId="34" fillId="0" borderId="49" xfId="57" applyNumberFormat="1" applyFont="1" applyFill="1" applyBorder="1" applyAlignment="1">
      <alignment horizontal="center" vertical="center"/>
      <protection/>
    </xf>
    <xf numFmtId="183" fontId="25" fillId="0" borderId="50" xfId="57" applyFont="1" applyFill="1" applyBorder="1" applyAlignment="1" quotePrefix="1">
      <alignment horizontal="center" vertical="center"/>
      <protection/>
    </xf>
    <xf numFmtId="183" fontId="59" fillId="0" borderId="0" xfId="57" applyFont="1" applyFill="1" applyAlignment="1">
      <alignment vertical="center"/>
      <protection/>
    </xf>
    <xf numFmtId="0" fontId="13" fillId="38" borderId="51" xfId="73" applyFont="1" applyFill="1" applyBorder="1" applyAlignment="1">
      <alignment horizontal="right" vertical="center"/>
      <protection/>
    </xf>
    <xf numFmtId="9" fontId="64" fillId="38" borderId="52" xfId="60" applyFont="1" applyFill="1" applyBorder="1" applyAlignment="1">
      <alignment horizontal="center" vertical="center"/>
    </xf>
    <xf numFmtId="9" fontId="53" fillId="38" borderId="52" xfId="60" applyFont="1" applyFill="1" applyBorder="1" applyAlignment="1">
      <alignment horizontal="center" vertical="center"/>
    </xf>
    <xf numFmtId="9" fontId="53" fillId="38" borderId="53" xfId="60" applyNumberFormat="1" applyFont="1" applyFill="1" applyBorder="1" applyAlignment="1">
      <alignment horizontal="center" vertical="center"/>
    </xf>
    <xf numFmtId="0" fontId="15" fillId="0" borderId="0" xfId="74" applyAlignment="1">
      <alignment vertical="center"/>
      <protection/>
    </xf>
    <xf numFmtId="0" fontId="16" fillId="0" borderId="0" xfId="74" applyFont="1" applyAlignment="1">
      <alignment vertical="center"/>
      <protection/>
    </xf>
    <xf numFmtId="0" fontId="15" fillId="0" borderId="2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36" borderId="0" xfId="0" applyFill="1" applyAlignment="1">
      <alignment vertical="center" wrapText="1"/>
    </xf>
    <xf numFmtId="0" fontId="1" fillId="36" borderId="0" xfId="0" applyFont="1" applyFill="1" applyAlignment="1">
      <alignment horizontal="right" vertical="center" wrapText="1"/>
    </xf>
    <xf numFmtId="0" fontId="1" fillId="36" borderId="54" xfId="0" applyFont="1" applyFill="1" applyBorder="1" applyAlignment="1">
      <alignment vertical="center" wrapText="1"/>
    </xf>
    <xf numFmtId="187" fontId="18" fillId="36" borderId="55" xfId="0" applyNumberFormat="1" applyFont="1" applyFill="1" applyBorder="1" applyAlignment="1">
      <alignment horizontal="center" vertical="center"/>
    </xf>
    <xf numFmtId="187" fontId="15" fillId="36" borderId="56" xfId="0" applyNumberFormat="1" applyFont="1" applyFill="1" applyBorder="1" applyAlignment="1">
      <alignment vertical="center"/>
    </xf>
    <xf numFmtId="4" fontId="20" fillId="36" borderId="56" xfId="0" applyNumberFormat="1" applyFont="1" applyFill="1" applyBorder="1" applyAlignment="1">
      <alignment horizontal="right" vertical="center"/>
    </xf>
    <xf numFmtId="187" fontId="21" fillId="36" borderId="57" xfId="0" applyNumberFormat="1" applyFont="1" applyFill="1" applyBorder="1" applyAlignment="1">
      <alignment horizontal="left" vertical="center"/>
    </xf>
    <xf numFmtId="187" fontId="18" fillId="36" borderId="58" xfId="0" applyNumberFormat="1" applyFont="1" applyFill="1" applyBorder="1" applyAlignment="1">
      <alignment horizontal="center" vertical="center"/>
    </xf>
    <xf numFmtId="187" fontId="15" fillId="36" borderId="59" xfId="0" applyNumberFormat="1" applyFont="1" applyFill="1" applyBorder="1" applyAlignment="1">
      <alignment vertical="center"/>
    </xf>
    <xf numFmtId="4" fontId="20" fillId="36" borderId="59" xfId="0" applyNumberFormat="1" applyFont="1" applyFill="1" applyBorder="1" applyAlignment="1">
      <alignment horizontal="right" vertical="center"/>
    </xf>
    <xf numFmtId="4" fontId="20" fillId="0" borderId="16" xfId="69" applyNumberFormat="1" applyFont="1" applyBorder="1" applyAlignment="1">
      <alignment horizontal="center" vertical="center"/>
      <protection/>
    </xf>
    <xf numFmtId="4" fontId="20" fillId="0" borderId="48" xfId="69" applyNumberFormat="1" applyFont="1" applyBorder="1" applyAlignment="1">
      <alignment horizontal="center" vertical="center"/>
      <protection/>
    </xf>
    <xf numFmtId="0" fontId="0" fillId="0" borderId="0" xfId="69" applyFont="1" applyAlignment="1">
      <alignment vertical="center"/>
      <protection/>
    </xf>
    <xf numFmtId="187" fontId="11" fillId="0" borderId="60" xfId="71" applyNumberFormat="1" applyFont="1" applyBorder="1" applyAlignment="1">
      <alignment horizontal="left" vertical="center" wrapText="1"/>
      <protection/>
    </xf>
    <xf numFmtId="9" fontId="20" fillId="0" borderId="60" xfId="68" applyNumberFormat="1" applyFont="1" applyBorder="1" applyAlignment="1">
      <alignment horizontal="center" vertical="center"/>
      <protection/>
    </xf>
    <xf numFmtId="187" fontId="20" fillId="36" borderId="61" xfId="68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left" vertical="center"/>
    </xf>
    <xf numFmtId="3" fontId="31" fillId="39" borderId="0" xfId="57" applyNumberFormat="1" applyFont="1" applyFill="1" applyAlignment="1">
      <alignment horizontal="center" vertical="center"/>
      <protection/>
    </xf>
    <xf numFmtId="9" fontId="50" fillId="33" borderId="29" xfId="6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20" fillId="0" borderId="17" xfId="69" applyNumberFormat="1" applyFont="1" applyBorder="1" applyAlignment="1">
      <alignment horizontal="center" vertical="center"/>
      <protection/>
    </xf>
    <xf numFmtId="0" fontId="8" fillId="0" borderId="0" xfId="69" applyFont="1">
      <alignment/>
      <protection/>
    </xf>
    <xf numFmtId="0" fontId="8" fillId="0" borderId="48" xfId="69" applyFont="1" applyBorder="1" applyAlignment="1">
      <alignment horizontal="center" vertical="center"/>
      <protection/>
    </xf>
    <xf numFmtId="0" fontId="8" fillId="0" borderId="17" xfId="69" applyFont="1" applyBorder="1" applyAlignment="1">
      <alignment horizontal="left" vertical="center" wrapText="1"/>
      <protection/>
    </xf>
    <xf numFmtId="0" fontId="8" fillId="0" borderId="16" xfId="69" applyFont="1" applyBorder="1" applyAlignment="1">
      <alignment horizontal="left" vertical="center" wrapText="1"/>
      <protection/>
    </xf>
    <xf numFmtId="0" fontId="8" fillId="0" borderId="48" xfId="69" applyFont="1" applyBorder="1" applyAlignment="1">
      <alignment horizontal="left" vertical="center" wrapText="1"/>
      <protection/>
    </xf>
    <xf numFmtId="0" fontId="8" fillId="0" borderId="16" xfId="69" applyFont="1" applyBorder="1" applyAlignment="1">
      <alignment horizontal="center" vertical="center"/>
      <protection/>
    </xf>
    <xf numFmtId="0" fontId="0" fillId="0" borderId="0" xfId="69" applyFont="1">
      <alignment/>
      <protection/>
    </xf>
    <xf numFmtId="4" fontId="16" fillId="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Alignment="1">
      <alignment horizontal="left" vertical="center"/>
    </xf>
    <xf numFmtId="4" fontId="20" fillId="0" borderId="0" xfId="0" applyNumberFormat="1" applyFont="1" applyFill="1" applyAlignment="1">
      <alignment horizontal="centerContinuous" vertical="center"/>
    </xf>
    <xf numFmtId="4" fontId="16" fillId="0" borderId="0" xfId="0" applyNumberFormat="1" applyFont="1" applyFill="1" applyAlignment="1">
      <alignment vertical="center"/>
    </xf>
    <xf numFmtId="4" fontId="22" fillId="37" borderId="62" xfId="0" applyNumberFormat="1" applyFont="1" applyFill="1" applyBorder="1" applyAlignment="1">
      <alignment horizontal="center" vertical="center" wrapText="1"/>
    </xf>
    <xf numFmtId="4" fontId="22" fillId="37" borderId="63" xfId="0" applyNumberFormat="1" applyFont="1" applyFill="1" applyBorder="1" applyAlignment="1">
      <alignment vertical="center" wrapText="1"/>
    </xf>
    <xf numFmtId="4" fontId="22" fillId="37" borderId="63" xfId="0" applyNumberFormat="1" applyFont="1" applyFill="1" applyBorder="1" applyAlignment="1">
      <alignment horizontal="center" vertical="center" wrapText="1"/>
    </xf>
    <xf numFmtId="4" fontId="22" fillId="37" borderId="64" xfId="0" applyNumberFormat="1" applyFont="1" applyFill="1" applyBorder="1" applyAlignment="1">
      <alignment horizontal="centerContinuous" vertical="center" wrapText="1"/>
    </xf>
    <xf numFmtId="187" fontId="16" fillId="0" borderId="0" xfId="0" applyNumberFormat="1" applyFont="1" applyFill="1" applyAlignment="1">
      <alignment horizontal="right" vertical="center"/>
    </xf>
    <xf numFmtId="0" fontId="15" fillId="0" borderId="31" xfId="68" applyFont="1" applyBorder="1" applyAlignment="1">
      <alignment vertical="center"/>
      <protection/>
    </xf>
    <xf numFmtId="0" fontId="21" fillId="0" borderId="0" xfId="68" applyFont="1" applyFill="1" applyBorder="1" applyAlignment="1">
      <alignment vertical="center"/>
      <protection/>
    </xf>
    <xf numFmtId="187" fontId="15" fillId="0" borderId="0" xfId="68" applyNumberFormat="1" applyFont="1" applyFill="1" applyBorder="1" applyAlignment="1">
      <alignment vertical="center"/>
      <protection/>
    </xf>
    <xf numFmtId="187" fontId="15" fillId="0" borderId="0" xfId="68" applyNumberFormat="1" applyFont="1" applyAlignment="1">
      <alignment vertical="center"/>
      <protection/>
    </xf>
    <xf numFmtId="187" fontId="16" fillId="0" borderId="0" xfId="0" applyNumberFormat="1" applyFont="1" applyAlignment="1">
      <alignment horizontal="right" vertical="center"/>
    </xf>
    <xf numFmtId="187" fontId="18" fillId="0" borderId="0" xfId="0" applyNumberFormat="1" applyFont="1" applyAlignment="1">
      <alignment vertical="center"/>
    </xf>
    <xf numFmtId="187" fontId="21" fillId="0" borderId="0" xfId="0" applyNumberFormat="1" applyFont="1" applyBorder="1" applyAlignment="1">
      <alignment horizontal="center" vertical="center"/>
    </xf>
    <xf numFmtId="2" fontId="15" fillId="0" borderId="0" xfId="74" applyNumberFormat="1" applyAlignment="1">
      <alignment vertical="center"/>
      <protection/>
    </xf>
    <xf numFmtId="0" fontId="15" fillId="0" borderId="0" xfId="74" applyAlignment="1">
      <alignment horizontal="center" vertical="center"/>
      <protection/>
    </xf>
    <xf numFmtId="187" fontId="9" fillId="0" borderId="0" xfId="0" applyNumberFormat="1" applyFont="1" applyAlignment="1">
      <alignment horizontal="centerContinuous" vertical="center"/>
    </xf>
    <xf numFmtId="187" fontId="21" fillId="0" borderId="0" xfId="0" applyNumberFormat="1" applyFont="1" applyAlignment="1">
      <alignment vertical="center"/>
    </xf>
    <xf numFmtId="187" fontId="20" fillId="0" borderId="0" xfId="0" applyNumberFormat="1" applyFont="1" applyAlignment="1">
      <alignment horizontal="centerContinuous" vertical="center"/>
    </xf>
    <xf numFmtId="187" fontId="16" fillId="0" borderId="0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87" fontId="0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0" fontId="13" fillId="37" borderId="65" xfId="69" applyFont="1" applyFill="1" applyBorder="1" applyAlignment="1">
      <alignment horizontal="center" vertical="center"/>
      <protection/>
    </xf>
    <xf numFmtId="0" fontId="13" fillId="37" borderId="65" xfId="69" applyFont="1" applyFill="1" applyBorder="1" applyAlignment="1">
      <alignment horizontal="center" vertical="center" wrapText="1"/>
      <protection/>
    </xf>
    <xf numFmtId="0" fontId="13" fillId="37" borderId="66" xfId="69" applyFont="1" applyFill="1" applyBorder="1" applyAlignment="1">
      <alignment horizontal="center" vertical="center"/>
      <protection/>
    </xf>
    <xf numFmtId="0" fontId="15" fillId="0" borderId="0" xfId="74" applyAlignment="1">
      <alignment vertical="center" wrapText="1"/>
      <protection/>
    </xf>
    <xf numFmtId="187" fontId="30" fillId="37" borderId="67" xfId="0" applyNumberFormat="1" applyFont="1" applyFill="1" applyBorder="1" applyAlignment="1" quotePrefix="1">
      <alignment horizontal="center" vertical="center" wrapText="1"/>
    </xf>
    <xf numFmtId="187" fontId="30" fillId="37" borderId="34" xfId="0" applyNumberFormat="1" applyFont="1" applyFill="1" applyBorder="1" applyAlignment="1">
      <alignment horizontal="center" vertical="center" wrapText="1"/>
    </xf>
    <xf numFmtId="187" fontId="13" fillId="37" borderId="68" xfId="0" applyNumberFormat="1" applyFont="1" applyFill="1" applyBorder="1" applyAlignment="1">
      <alignment horizontal="centerContinuous" vertical="center" wrapText="1"/>
    </xf>
    <xf numFmtId="187" fontId="13" fillId="37" borderId="69" xfId="0" applyNumberFormat="1" applyFont="1" applyFill="1" applyBorder="1" applyAlignment="1">
      <alignment horizontal="centerContinuous" vertical="center" wrapText="1"/>
    </xf>
    <xf numFmtId="187" fontId="40" fillId="37" borderId="69" xfId="0" applyNumberFormat="1" applyFont="1" applyFill="1" applyBorder="1" applyAlignment="1">
      <alignment horizontal="center" vertical="center" wrapText="1"/>
    </xf>
    <xf numFmtId="187" fontId="67" fillId="0" borderId="34" xfId="0" applyNumberFormat="1" applyFont="1" applyFill="1" applyBorder="1" applyAlignment="1">
      <alignment vertical="center" wrapText="1"/>
    </xf>
    <xf numFmtId="0" fontId="13" fillId="37" borderId="70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37" borderId="71" xfId="0" applyFont="1" applyFill="1" applyBorder="1" applyAlignment="1">
      <alignment vertical="center"/>
    </xf>
    <xf numFmtId="0" fontId="13" fillId="37" borderId="71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68" fillId="37" borderId="71" xfId="0" applyFont="1" applyFill="1" applyBorder="1" applyAlignment="1">
      <alignment horizontal="center" vertical="center"/>
    </xf>
    <xf numFmtId="14" fontId="4" fillId="33" borderId="29" xfId="0" applyNumberFormat="1" applyFont="1" applyFill="1" applyBorder="1" applyAlignment="1">
      <alignment vertical="center"/>
    </xf>
    <xf numFmtId="4" fontId="49" fillId="33" borderId="29" xfId="0" applyNumberFormat="1" applyFont="1" applyFill="1" applyBorder="1" applyAlignment="1">
      <alignment vertical="center"/>
    </xf>
    <xf numFmtId="183" fontId="15" fillId="35" borderId="0" xfId="57" applyFont="1" applyFill="1" applyBorder="1" applyAlignment="1">
      <alignment vertical="center"/>
      <protection/>
    </xf>
    <xf numFmtId="0" fontId="18" fillId="0" borderId="0" xfId="0" applyFont="1" applyBorder="1" applyAlignment="1" quotePrefix="1">
      <alignment horizontal="right" vertical="center"/>
    </xf>
    <xf numFmtId="0" fontId="14" fillId="0" borderId="0" xfId="0" applyFont="1" applyFill="1" applyBorder="1" applyAlignment="1" quotePrefix="1">
      <alignment horizontal="right" vertical="center"/>
    </xf>
    <xf numFmtId="183" fontId="15" fillId="0" borderId="0" xfId="57" applyFont="1" applyBorder="1" applyAlignment="1">
      <alignment vertical="center"/>
      <protection/>
    </xf>
    <xf numFmtId="0" fontId="20" fillId="0" borderId="0" xfId="0" applyFont="1" applyFill="1" applyBorder="1" applyAlignment="1" quotePrefix="1">
      <alignment horizontal="center" vertical="center"/>
    </xf>
    <xf numFmtId="0" fontId="36" fillId="37" borderId="70" xfId="65" applyFont="1" applyFill="1" applyBorder="1" applyAlignment="1">
      <alignment horizontal="center" vertical="center"/>
      <protection/>
    </xf>
    <xf numFmtId="0" fontId="24" fillId="37" borderId="72" xfId="65" applyFont="1" applyFill="1" applyBorder="1" applyAlignment="1">
      <alignment horizontal="center" vertical="center"/>
      <protection/>
    </xf>
    <xf numFmtId="0" fontId="24" fillId="37" borderId="71" xfId="57" applyNumberFormat="1" applyFont="1" applyFill="1" applyBorder="1" applyAlignment="1" applyProtection="1">
      <alignment horizontal="center" vertical="center"/>
      <protection locked="0"/>
    </xf>
    <xf numFmtId="0" fontId="24" fillId="37" borderId="73" xfId="57" applyNumberFormat="1" applyFont="1" applyFill="1" applyBorder="1" applyAlignment="1" applyProtection="1">
      <alignment horizontal="center" vertical="center"/>
      <protection locked="0"/>
    </xf>
    <xf numFmtId="183" fontId="15" fillId="0" borderId="0" xfId="57" applyFont="1" applyFill="1" applyAlignment="1">
      <alignment vertical="center"/>
      <protection/>
    </xf>
    <xf numFmtId="9" fontId="15" fillId="0" borderId="0" xfId="60" applyFont="1" applyFill="1" applyAlignment="1">
      <alignment horizontal="left" vertical="center"/>
    </xf>
    <xf numFmtId="189" fontId="29" fillId="0" borderId="0" xfId="57" applyNumberFormat="1" applyFont="1" applyFill="1" applyAlignment="1">
      <alignment vertical="center"/>
      <protection/>
    </xf>
    <xf numFmtId="183" fontId="15" fillId="0" borderId="0" xfId="57" applyFont="1" applyAlignment="1">
      <alignment horizontal="left" vertical="center"/>
      <protection/>
    </xf>
    <xf numFmtId="183" fontId="15" fillId="0" borderId="0" xfId="57" applyFont="1" applyAlignment="1">
      <alignment horizontal="center" vertical="center"/>
      <protection/>
    </xf>
    <xf numFmtId="183" fontId="15" fillId="0" borderId="0" xfId="57" applyFont="1" applyFill="1" applyBorder="1" applyAlignment="1">
      <alignment vertical="center"/>
      <protection/>
    </xf>
    <xf numFmtId="183" fontId="18" fillId="35" borderId="0" xfId="57" applyFont="1" applyFill="1" applyAlignment="1">
      <alignment vertical="center"/>
      <protection/>
    </xf>
    <xf numFmtId="182" fontId="16" fillId="40" borderId="29" xfId="57" applyNumberFormat="1" applyFont="1" applyFill="1" applyBorder="1" applyAlignment="1">
      <alignment horizontal="center" vertical="center"/>
      <protection/>
    </xf>
    <xf numFmtId="182" fontId="32" fillId="40" borderId="29" xfId="57" applyNumberFormat="1" applyFont="1" applyFill="1" applyBorder="1" applyAlignment="1">
      <alignment horizontal="right" vertical="center"/>
      <protection/>
    </xf>
    <xf numFmtId="10" fontId="32" fillId="40" borderId="29" xfId="57" applyNumberFormat="1" applyFont="1" applyFill="1" applyBorder="1" applyAlignment="1">
      <alignment horizontal="right" vertical="center"/>
      <protection/>
    </xf>
    <xf numFmtId="183" fontId="15" fillId="41" borderId="30" xfId="57" applyFont="1" applyFill="1" applyBorder="1" applyAlignment="1">
      <alignment vertical="center"/>
      <protection/>
    </xf>
    <xf numFmtId="186" fontId="20" fillId="36" borderId="29" xfId="57" applyNumberFormat="1" applyFont="1" applyFill="1" applyBorder="1" applyAlignment="1">
      <alignment horizontal="center" vertical="center"/>
      <protection/>
    </xf>
    <xf numFmtId="182" fontId="31" fillId="36" borderId="29" xfId="57" applyNumberFormat="1" applyFont="1" applyFill="1" applyBorder="1" applyAlignment="1">
      <alignment horizontal="right" vertical="center"/>
      <protection/>
    </xf>
    <xf numFmtId="10" fontId="31" fillId="36" borderId="29" xfId="57" applyNumberFormat="1" applyFont="1" applyFill="1" applyBorder="1" applyAlignment="1">
      <alignment vertical="center"/>
      <protection/>
    </xf>
    <xf numFmtId="183" fontId="15" fillId="41" borderId="24" xfId="57" applyFont="1" applyFill="1" applyBorder="1" applyAlignment="1">
      <alignment vertical="center"/>
      <protection/>
    </xf>
    <xf numFmtId="183" fontId="23" fillId="35" borderId="74" xfId="57" applyFont="1" applyFill="1" applyBorder="1" applyAlignment="1">
      <alignment horizontal="right" vertical="center"/>
      <protection/>
    </xf>
    <xf numFmtId="183" fontId="15" fillId="35" borderId="75" xfId="57" applyFont="1" applyFill="1" applyBorder="1" applyAlignment="1">
      <alignment vertical="center"/>
      <protection/>
    </xf>
    <xf numFmtId="183" fontId="15" fillId="35" borderId="76" xfId="57" applyFont="1" applyFill="1" applyBorder="1" applyAlignment="1">
      <alignment vertical="center"/>
      <protection/>
    </xf>
    <xf numFmtId="183" fontId="23" fillId="0" borderId="77" xfId="57" applyFont="1" applyFill="1" applyBorder="1" applyAlignment="1" applyProtection="1" quotePrefix="1">
      <alignment horizontal="left" vertical="center"/>
      <protection locked="0"/>
    </xf>
    <xf numFmtId="183" fontId="23" fillId="0" borderId="78" xfId="57" applyFont="1" applyFill="1" applyBorder="1" applyAlignment="1">
      <alignment horizontal="centerContinuous" vertical="center"/>
      <protection/>
    </xf>
    <xf numFmtId="0" fontId="20" fillId="0" borderId="79" xfId="65" applyFont="1" applyFill="1" applyBorder="1" applyAlignment="1">
      <alignment horizontal="center" vertical="center"/>
      <protection/>
    </xf>
    <xf numFmtId="0" fontId="23" fillId="0" borderId="40" xfId="66" applyFont="1" applyFill="1" applyBorder="1" applyAlignment="1" applyProtection="1" quotePrefix="1">
      <alignment horizontal="centerContinuous" vertical="center"/>
      <protection locked="0"/>
    </xf>
    <xf numFmtId="0" fontId="23" fillId="0" borderId="20" xfId="66" applyFont="1" applyFill="1" applyBorder="1" applyAlignment="1" applyProtection="1" quotePrefix="1">
      <alignment horizontal="centerContinuous" vertical="center"/>
      <protection locked="0"/>
    </xf>
    <xf numFmtId="186" fontId="23" fillId="0" borderId="12" xfId="66" applyNumberFormat="1" applyFont="1" applyFill="1" applyBorder="1" applyAlignment="1" applyProtection="1">
      <alignment horizontal="center" vertical="center"/>
      <protection locked="0"/>
    </xf>
    <xf numFmtId="185" fontId="28" fillId="0" borderId="12" xfId="66" applyNumberFormat="1" applyFont="1" applyFill="1" applyBorder="1" applyAlignment="1" applyProtection="1">
      <alignment horizontal="center" vertical="center"/>
      <protection locked="0"/>
    </xf>
    <xf numFmtId="38" fontId="28" fillId="0" borderId="41" xfId="66" applyNumberFormat="1" applyFont="1" applyFill="1" applyBorder="1" applyAlignment="1" quotePrefix="1">
      <alignment horizontal="center" vertical="center"/>
      <protection/>
    </xf>
    <xf numFmtId="0" fontId="15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80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4" fillId="0" borderId="0" xfId="65" applyFont="1" applyFill="1" applyAlignment="1">
      <alignment vertical="center"/>
      <protection/>
    </xf>
    <xf numFmtId="0" fontId="14" fillId="0" borderId="0" xfId="65" applyFont="1" applyFill="1" applyAlignment="1" quotePrefix="1">
      <alignment horizontal="right" vertical="center"/>
      <protection/>
    </xf>
    <xf numFmtId="183" fontId="33" fillId="0" borderId="0" xfId="57" applyFont="1" applyFill="1" applyAlignment="1">
      <alignment vertical="center"/>
      <protection/>
    </xf>
    <xf numFmtId="0" fontId="60" fillId="36" borderId="74" xfId="66" applyFont="1" applyFill="1" applyBorder="1" applyAlignment="1" applyProtection="1">
      <alignment horizontal="centerContinuous" vertical="center" wrapText="1"/>
      <protection locked="0"/>
    </xf>
    <xf numFmtId="0" fontId="60" fillId="36" borderId="75" xfId="66" applyFont="1" applyFill="1" applyBorder="1" applyAlignment="1" applyProtection="1">
      <alignment horizontal="centerContinuous" vertical="center" wrapText="1"/>
      <protection locked="0"/>
    </xf>
    <xf numFmtId="0" fontId="60" fillId="36" borderId="30" xfId="66" applyFont="1" applyFill="1" applyBorder="1" applyAlignment="1">
      <alignment horizontal="center" vertical="center" wrapText="1"/>
      <protection/>
    </xf>
    <xf numFmtId="184" fontId="60" fillId="36" borderId="30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30" xfId="66" applyNumberFormat="1" applyFont="1" applyFill="1" applyBorder="1" applyAlignment="1" applyProtection="1" quotePrefix="1">
      <alignment horizontal="center" vertical="center" wrapText="1"/>
      <protection locked="0"/>
    </xf>
    <xf numFmtId="38" fontId="60" fillId="36" borderId="30" xfId="66" applyNumberFormat="1" applyFont="1" applyFill="1" applyBorder="1" applyAlignment="1">
      <alignment horizontal="center" vertical="center" wrapText="1"/>
      <protection/>
    </xf>
    <xf numFmtId="0" fontId="60" fillId="36" borderId="81" xfId="66" applyFont="1" applyFill="1" applyBorder="1" applyAlignment="1" applyProtection="1">
      <alignment horizontal="centerContinuous" vertical="center" wrapText="1"/>
      <protection locked="0"/>
    </xf>
    <xf numFmtId="0" fontId="60" fillId="36" borderId="31" xfId="66" applyFont="1" applyFill="1" applyBorder="1" applyAlignment="1">
      <alignment horizontal="center" vertical="center" wrapText="1"/>
      <protection/>
    </xf>
    <xf numFmtId="184" fontId="60" fillId="36" borderId="31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31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31" xfId="66" applyNumberFormat="1" applyFont="1" applyFill="1" applyBorder="1" applyAlignment="1">
      <alignment horizontal="center" vertical="center" wrapText="1"/>
      <protection/>
    </xf>
    <xf numFmtId="0" fontId="60" fillId="36" borderId="39" xfId="66" applyFont="1" applyFill="1" applyBorder="1" applyAlignment="1" applyProtection="1">
      <alignment horizontal="centerContinuous" vertical="center" wrapText="1"/>
      <protection locked="0"/>
    </xf>
    <xf numFmtId="0" fontId="60" fillId="36" borderId="76" xfId="66" applyFont="1" applyFill="1" applyBorder="1" applyAlignment="1" applyProtection="1">
      <alignment horizontal="centerContinuous" vertical="center" wrapText="1"/>
      <protection locked="0"/>
    </xf>
    <xf numFmtId="0" fontId="60" fillId="36" borderId="24" xfId="66" applyFont="1" applyFill="1" applyBorder="1" applyAlignment="1">
      <alignment horizontal="center" vertical="center" wrapText="1"/>
      <protection/>
    </xf>
    <xf numFmtId="184" fontId="60" fillId="36" borderId="24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24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24" xfId="66" applyNumberFormat="1" applyFont="1" applyFill="1" applyBorder="1" applyAlignment="1">
      <alignment horizontal="center" vertical="center" wrapText="1"/>
      <protection/>
    </xf>
    <xf numFmtId="9" fontId="23" fillId="36" borderId="82" xfId="66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9" fillId="33" borderId="24" xfId="0" applyFont="1" applyFill="1" applyBorder="1" applyAlignment="1">
      <alignment horizontal="center" vertical="center" wrapText="1"/>
    </xf>
    <xf numFmtId="14" fontId="9" fillId="33" borderId="24" xfId="0" applyNumberFormat="1" applyFont="1" applyFill="1" applyBorder="1" applyAlignment="1">
      <alignment horizontal="center" vertical="center" wrapText="1"/>
    </xf>
    <xf numFmtId="4" fontId="9" fillId="33" borderId="2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33" borderId="29" xfId="0" applyFont="1" applyFill="1" applyBorder="1" applyAlignment="1">
      <alignment horizontal="center" vertical="center" wrapText="1"/>
    </xf>
    <xf numFmtId="4" fontId="9" fillId="33" borderId="29" xfId="0" applyNumberFormat="1" applyFont="1" applyFill="1" applyBorder="1" applyAlignment="1">
      <alignment vertical="center" wrapText="1"/>
    </xf>
    <xf numFmtId="0" fontId="9" fillId="36" borderId="54" xfId="0" applyFont="1" applyFill="1" applyBorder="1" applyAlignment="1">
      <alignment horizontal="center" vertical="center" wrapText="1"/>
    </xf>
    <xf numFmtId="0" fontId="9" fillId="36" borderId="83" xfId="0" applyFont="1" applyFill="1" applyBorder="1" applyAlignment="1">
      <alignment horizontal="center" vertical="center" wrapText="1"/>
    </xf>
    <xf numFmtId="4" fontId="9" fillId="36" borderId="83" xfId="0" applyNumberFormat="1" applyFont="1" applyFill="1" applyBorder="1" applyAlignment="1">
      <alignment vertical="center" wrapText="1"/>
    </xf>
    <xf numFmtId="4" fontId="9" fillId="36" borderId="29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37" borderId="84" xfId="0" applyFont="1" applyFill="1" applyBorder="1" applyAlignment="1">
      <alignment horizontal="center" vertical="center" wrapText="1"/>
    </xf>
    <xf numFmtId="0" fontId="18" fillId="0" borderId="0" xfId="0" applyFont="1" applyFill="1" applyAlignment="1" quotePrefix="1">
      <alignment horizontal="right" vertical="center"/>
    </xf>
    <xf numFmtId="183" fontId="14" fillId="0" borderId="0" xfId="57" applyFont="1" applyAlignment="1">
      <alignment vertical="center"/>
      <protection/>
    </xf>
    <xf numFmtId="183" fontId="23" fillId="0" borderId="0" xfId="57" applyFont="1" applyFill="1" applyBorder="1" applyAlignment="1" applyProtection="1">
      <alignment horizontal="centerContinuous" vertical="center"/>
      <protection locked="0"/>
    </xf>
    <xf numFmtId="183" fontId="15" fillId="0" borderId="0" xfId="57" applyFont="1" applyAlignment="1">
      <alignment horizontal="centerContinuous" vertical="center"/>
      <protection/>
    </xf>
    <xf numFmtId="0" fontId="14" fillId="0" borderId="0" xfId="67" applyFont="1" applyAlignment="1">
      <alignment vertical="center"/>
      <protection/>
    </xf>
    <xf numFmtId="0" fontId="4" fillId="0" borderId="0" xfId="72" applyFont="1" applyAlignment="1">
      <alignment vertical="center"/>
      <protection/>
    </xf>
    <xf numFmtId="2" fontId="4" fillId="0" borderId="0" xfId="72" applyNumberFormat="1" applyFont="1" applyAlignment="1">
      <alignment vertical="center"/>
      <protection/>
    </xf>
    <xf numFmtId="0" fontId="9" fillId="0" borderId="0" xfId="75" applyFont="1" applyAlignment="1">
      <alignment horizontal="centerContinuous" vertical="center"/>
      <protection/>
    </xf>
    <xf numFmtId="3" fontId="9" fillId="0" borderId="0" xfId="75" applyNumberFormat="1" applyFont="1" applyAlignment="1">
      <alignment horizontal="centerContinuous" vertical="center"/>
      <protection/>
    </xf>
    <xf numFmtId="0" fontId="9" fillId="0" borderId="0" xfId="72" applyFont="1" applyAlignment="1">
      <alignment horizontal="centerContinuous" vertical="center"/>
      <protection/>
    </xf>
    <xf numFmtId="0" fontId="0" fillId="0" borderId="0" xfId="77" applyFont="1" applyAlignment="1">
      <alignment vertical="center"/>
      <protection/>
    </xf>
    <xf numFmtId="0" fontId="4" fillId="0" borderId="0" xfId="75" applyFont="1" applyAlignment="1">
      <alignment vertical="center"/>
      <protection/>
    </xf>
    <xf numFmtId="2" fontId="9" fillId="0" borderId="24" xfId="75" applyNumberFormat="1" applyFont="1" applyFill="1" applyBorder="1" applyAlignment="1">
      <alignment horizontal="center" vertical="center"/>
      <protection/>
    </xf>
    <xf numFmtId="2" fontId="4" fillId="0" borderId="0" xfId="75" applyNumberFormat="1" applyFont="1" applyAlignment="1">
      <alignment vertical="center"/>
      <protection/>
    </xf>
    <xf numFmtId="2" fontId="4" fillId="0" borderId="0" xfId="75" applyNumberFormat="1" applyFont="1" applyFill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4" fillId="0" borderId="0" xfId="72" applyFont="1" applyAlignment="1">
      <alignment horizontal="centerContinuous" vertical="center"/>
      <protection/>
    </xf>
    <xf numFmtId="0" fontId="10" fillId="0" borderId="0" xfId="72" applyFont="1" applyAlignment="1">
      <alignment horizontal="centerContinuous" vertical="center"/>
      <protection/>
    </xf>
    <xf numFmtId="0" fontId="8" fillId="0" borderId="0" xfId="72" applyFont="1" applyAlignment="1">
      <alignment horizontal="centerContinuous" vertical="center"/>
      <protection/>
    </xf>
    <xf numFmtId="0" fontId="8" fillId="0" borderId="0" xfId="75" applyFont="1" applyAlignment="1">
      <alignment vertical="center"/>
      <protection/>
    </xf>
    <xf numFmtId="0" fontId="8" fillId="0" borderId="0" xfId="72" applyFont="1" applyAlignment="1">
      <alignment vertical="center"/>
      <protection/>
    </xf>
    <xf numFmtId="0" fontId="4" fillId="0" borderId="0" xfId="72" applyFont="1" applyFill="1" applyAlignment="1">
      <alignment vertical="center"/>
      <protection/>
    </xf>
    <xf numFmtId="0" fontId="63" fillId="0" borderId="0" xfId="72" applyFont="1" applyAlignment="1">
      <alignment vertical="center"/>
      <protection/>
    </xf>
    <xf numFmtId="0" fontId="9" fillId="0" borderId="0" xfId="72" applyFont="1" applyAlignment="1">
      <alignment vertical="center"/>
      <protection/>
    </xf>
    <xf numFmtId="0" fontId="1" fillId="0" borderId="0" xfId="75" applyFont="1" applyAlignment="1">
      <alignment horizontal="centerContinuous" vertical="center"/>
      <protection/>
    </xf>
    <xf numFmtId="0" fontId="66" fillId="0" borderId="0" xfId="75" applyFont="1" applyBorder="1" applyAlignment="1">
      <alignment vertical="center"/>
      <protection/>
    </xf>
    <xf numFmtId="0" fontId="66" fillId="0" borderId="0" xfId="75" applyFont="1" applyFill="1" applyBorder="1" applyAlignment="1">
      <alignment vertical="center"/>
      <protection/>
    </xf>
    <xf numFmtId="0" fontId="66" fillId="0" borderId="0" xfId="72" applyFont="1" applyBorder="1" applyAlignment="1">
      <alignment vertical="center"/>
      <protection/>
    </xf>
    <xf numFmtId="0" fontId="4" fillId="0" borderId="0" xfId="75" applyFont="1" applyFill="1" applyAlignment="1">
      <alignment vertical="center"/>
      <protection/>
    </xf>
    <xf numFmtId="0" fontId="4" fillId="0" borderId="0" xfId="72" applyFont="1" applyBorder="1" applyAlignment="1">
      <alignment vertical="center"/>
      <protection/>
    </xf>
    <xf numFmtId="0" fontId="66" fillId="0" borderId="0" xfId="72" applyFont="1" applyAlignment="1">
      <alignment vertical="center"/>
      <protection/>
    </xf>
    <xf numFmtId="0" fontId="52" fillId="0" borderId="0" xfId="70" applyFont="1" applyAlignment="1">
      <alignment vertical="center"/>
      <protection/>
    </xf>
    <xf numFmtId="0" fontId="53" fillId="42" borderId="29" xfId="70" applyFont="1" applyFill="1" applyBorder="1" applyAlignment="1">
      <alignment vertical="center"/>
      <protection/>
    </xf>
    <xf numFmtId="0" fontId="53" fillId="42" borderId="29" xfId="70" applyFont="1" applyFill="1" applyBorder="1" applyAlignment="1">
      <alignment horizontal="center" vertical="center"/>
      <protection/>
    </xf>
    <xf numFmtId="0" fontId="52" fillId="0" borderId="0" xfId="70" applyFont="1" applyAlignment="1">
      <alignment horizontal="centerContinuous" vertical="center"/>
      <protection/>
    </xf>
    <xf numFmtId="0" fontId="4" fillId="40" borderId="29" xfId="70" applyFont="1" applyFill="1" applyBorder="1" applyAlignment="1">
      <alignment horizontal="left" vertical="center"/>
      <protection/>
    </xf>
    <xf numFmtId="3" fontId="4" fillId="40" borderId="29" xfId="70" applyNumberFormat="1" applyFont="1" applyFill="1" applyBorder="1" applyAlignment="1">
      <alignment vertical="center"/>
      <protection/>
    </xf>
    <xf numFmtId="0" fontId="54" fillId="0" borderId="0" xfId="70" applyFont="1" applyAlignment="1">
      <alignment horizontal="centerContinuous" vertical="center"/>
      <protection/>
    </xf>
    <xf numFmtId="0" fontId="55" fillId="0" borderId="0" xfId="70" applyFont="1" applyAlignment="1">
      <alignment horizontal="centerContinuous" vertical="center"/>
      <protection/>
    </xf>
    <xf numFmtId="3" fontId="54" fillId="0" borderId="0" xfId="70" applyNumberFormat="1" applyFont="1" applyAlignment="1">
      <alignment horizontal="centerContinuous" vertical="center"/>
      <protection/>
    </xf>
    <xf numFmtId="0" fontId="0" fillId="0" borderId="0" xfId="70" applyAlignment="1">
      <alignment vertical="center"/>
      <protection/>
    </xf>
    <xf numFmtId="3" fontId="56" fillId="0" borderId="0" xfId="70" applyNumberFormat="1" applyFont="1" applyFill="1" applyBorder="1" applyAlignment="1">
      <alignment vertical="center"/>
      <protection/>
    </xf>
    <xf numFmtId="0" fontId="56" fillId="0" borderId="0" xfId="70" applyFont="1" applyFill="1" applyBorder="1" applyAlignment="1">
      <alignment horizontal="center" vertical="center"/>
      <protection/>
    </xf>
    <xf numFmtId="0" fontId="52" fillId="0" borderId="0" xfId="70" applyFont="1" applyBorder="1" applyAlignment="1">
      <alignment vertical="center"/>
      <protection/>
    </xf>
    <xf numFmtId="3" fontId="52" fillId="0" borderId="0" xfId="70" applyNumberFormat="1" applyFont="1" applyAlignment="1">
      <alignment vertical="center"/>
      <protection/>
    </xf>
    <xf numFmtId="0" fontId="70" fillId="0" borderId="0" xfId="70" applyFont="1" applyAlignment="1">
      <alignment vertical="center"/>
      <protection/>
    </xf>
    <xf numFmtId="0" fontId="53" fillId="37" borderId="71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 quotePrefix="1">
      <alignment horizontal="left" vertical="center"/>
      <protection/>
    </xf>
    <xf numFmtId="0" fontId="52" fillId="0" borderId="0" xfId="70" applyFont="1" applyFill="1" applyAlignment="1">
      <alignment vertical="center"/>
      <protection/>
    </xf>
    <xf numFmtId="0" fontId="4" fillId="0" borderId="48" xfId="70" applyFont="1" applyFill="1" applyBorder="1" applyAlignment="1" quotePrefix="1">
      <alignment horizontal="left" vertical="center"/>
      <protection/>
    </xf>
    <xf numFmtId="0" fontId="0" fillId="0" borderId="0" xfId="70" applyFont="1" applyAlignment="1">
      <alignment vertical="center"/>
      <protection/>
    </xf>
    <xf numFmtId="3" fontId="0" fillId="0" borderId="0" xfId="70" applyNumberFormat="1" applyFont="1" applyAlignment="1">
      <alignment vertical="center"/>
      <protection/>
    </xf>
    <xf numFmtId="0" fontId="4" fillId="0" borderId="16" xfId="70" applyFont="1" applyFill="1" applyBorder="1" applyAlignment="1" quotePrefix="1">
      <alignment horizontal="left" vertical="center"/>
      <protection/>
    </xf>
    <xf numFmtId="0" fontId="0" fillId="43" borderId="0" xfId="0" applyFill="1" applyAlignment="1">
      <alignment vertical="center"/>
    </xf>
    <xf numFmtId="183" fontId="15" fillId="43" borderId="0" xfId="57" applyFont="1" applyFill="1" applyBorder="1" applyAlignment="1">
      <alignment vertical="center"/>
      <protection/>
    </xf>
    <xf numFmtId="0" fontId="14" fillId="43" borderId="0" xfId="0" applyFont="1" applyFill="1" applyBorder="1" applyAlignment="1" quotePrefix="1">
      <alignment horizontal="right" vertical="center"/>
    </xf>
    <xf numFmtId="0" fontId="15" fillId="43" borderId="0" xfId="67" applyFont="1" applyFill="1" applyAlignment="1">
      <alignment vertical="center"/>
      <protection/>
    </xf>
    <xf numFmtId="183" fontId="15" fillId="43" borderId="0" xfId="57" applyFont="1" applyFill="1" applyAlignment="1">
      <alignment vertical="center"/>
      <protection/>
    </xf>
    <xf numFmtId="0" fontId="15" fillId="43" borderId="0" xfId="0" applyFont="1" applyFill="1" applyAlignment="1">
      <alignment vertical="center"/>
    </xf>
    <xf numFmtId="183" fontId="29" fillId="43" borderId="0" xfId="57" applyFont="1" applyFill="1" applyBorder="1" applyAlignment="1">
      <alignment vertical="center"/>
      <protection/>
    </xf>
    <xf numFmtId="187" fontId="0" fillId="43" borderId="0" xfId="0" applyNumberFormat="1" applyFont="1" applyFill="1" applyAlignment="1">
      <alignment vertical="center"/>
    </xf>
    <xf numFmtId="187" fontId="0" fillId="43" borderId="0" xfId="0" applyNumberFormat="1" applyFont="1" applyFill="1" applyAlignment="1">
      <alignment vertical="center" wrapText="1"/>
    </xf>
    <xf numFmtId="187" fontId="15" fillId="43" borderId="0" xfId="0" applyNumberFormat="1" applyFont="1" applyFill="1" applyAlignment="1">
      <alignment vertical="center"/>
    </xf>
    <xf numFmtId="187" fontId="18" fillId="43" borderId="0" xfId="0" applyNumberFormat="1" applyFont="1" applyFill="1" applyAlignment="1">
      <alignment vertical="center"/>
    </xf>
    <xf numFmtId="187" fontId="18" fillId="43" borderId="0" xfId="0" applyNumberFormat="1" applyFont="1" applyFill="1" applyAlignment="1">
      <alignment vertical="center" wrapText="1"/>
    </xf>
    <xf numFmtId="4" fontId="15" fillId="43" borderId="0" xfId="0" applyNumberFormat="1" applyFont="1" applyFill="1" applyAlignment="1">
      <alignment vertical="center"/>
    </xf>
    <xf numFmtId="0" fontId="0" fillId="43" borderId="0" xfId="69" applyFill="1">
      <alignment/>
      <protection/>
    </xf>
    <xf numFmtId="0" fontId="0" fillId="43" borderId="0" xfId="69" applyFont="1" applyFill="1" applyAlignment="1">
      <alignment vertical="center"/>
      <protection/>
    </xf>
    <xf numFmtId="187" fontId="40" fillId="37" borderId="64" xfId="0" applyNumberFormat="1" applyFont="1" applyFill="1" applyBorder="1" applyAlignment="1">
      <alignment horizontal="center" vertical="center" wrapText="1"/>
    </xf>
    <xf numFmtId="187" fontId="67" fillId="0" borderId="0" xfId="0" applyNumberFormat="1" applyFont="1" applyFill="1" applyBorder="1" applyAlignment="1">
      <alignment vertical="center" wrapText="1"/>
    </xf>
    <xf numFmtId="187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" fontId="0" fillId="43" borderId="0" xfId="0" applyNumberFormat="1" applyFont="1" applyFill="1" applyAlignment="1">
      <alignment/>
    </xf>
    <xf numFmtId="0" fontId="52" fillId="43" borderId="0" xfId="70" applyFont="1" applyFill="1" applyAlignment="1">
      <alignment vertical="center"/>
      <protection/>
    </xf>
    <xf numFmtId="0" fontId="0" fillId="43" borderId="0" xfId="0" applyFill="1" applyAlignment="1">
      <alignment vertical="center" wrapText="1"/>
    </xf>
    <xf numFmtId="0" fontId="4" fillId="43" borderId="0" xfId="72" applyFont="1" applyFill="1" applyAlignment="1">
      <alignment vertical="center"/>
      <protection/>
    </xf>
    <xf numFmtId="0" fontId="66" fillId="43" borderId="0" xfId="72" applyFont="1" applyFill="1" applyAlignment="1">
      <alignment vertical="center"/>
      <protection/>
    </xf>
    <xf numFmtId="183" fontId="14" fillId="43" borderId="0" xfId="57" applyFont="1" applyFill="1" applyAlignment="1">
      <alignment vertical="center"/>
      <protection/>
    </xf>
    <xf numFmtId="0" fontId="14" fillId="43" borderId="0" xfId="67" applyFont="1" applyFill="1" applyAlignment="1">
      <alignment vertical="center"/>
      <protection/>
    </xf>
    <xf numFmtId="4" fontId="49" fillId="35" borderId="24" xfId="0" applyNumberFormat="1" applyFont="1" applyFill="1" applyBorder="1" applyAlignment="1">
      <alignment vertical="center" wrapText="1"/>
    </xf>
    <xf numFmtId="4" fontId="1" fillId="33" borderId="24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" fontId="49" fillId="36" borderId="24" xfId="0" applyNumberFormat="1" applyFont="1" applyFill="1" applyBorder="1" applyAlignment="1">
      <alignment vertical="center"/>
    </xf>
    <xf numFmtId="4" fontId="4" fillId="33" borderId="85" xfId="0" applyNumberFormat="1" applyFont="1" applyFill="1" applyBorder="1" applyAlignment="1">
      <alignment vertical="center"/>
    </xf>
    <xf numFmtId="14" fontId="4" fillId="33" borderId="85" xfId="0" applyNumberFormat="1" applyFont="1" applyFill="1" applyBorder="1" applyAlignment="1">
      <alignment vertical="center"/>
    </xf>
    <xf numFmtId="4" fontId="49" fillId="33" borderId="85" xfId="0" applyNumberFormat="1" applyFont="1" applyFill="1" applyBorder="1" applyAlignment="1">
      <alignment vertical="center"/>
    </xf>
    <xf numFmtId="1" fontId="4" fillId="33" borderId="85" xfId="0" applyNumberFormat="1" applyFont="1" applyFill="1" applyBorder="1" applyAlignment="1">
      <alignment horizontal="center" vertical="center"/>
    </xf>
    <xf numFmtId="10" fontId="4" fillId="33" borderId="85" xfId="0" applyNumberFormat="1" applyFont="1" applyFill="1" applyBorder="1" applyAlignment="1">
      <alignment horizontal="right" vertical="center"/>
    </xf>
    <xf numFmtId="0" fontId="8" fillId="0" borderId="85" xfId="0" applyFont="1" applyBorder="1" applyAlignment="1">
      <alignment horizontal="center" vertical="center"/>
    </xf>
    <xf numFmtId="0" fontId="13" fillId="37" borderId="86" xfId="0" applyFont="1" applyFill="1" applyBorder="1" applyAlignment="1">
      <alignment horizontal="center" vertical="center"/>
    </xf>
    <xf numFmtId="0" fontId="13" fillId="37" borderId="87" xfId="0" applyFont="1" applyFill="1" applyBorder="1" applyAlignment="1">
      <alignment horizontal="center" vertical="center"/>
    </xf>
    <xf numFmtId="0" fontId="13" fillId="37" borderId="88" xfId="0" applyFont="1" applyFill="1" applyBorder="1" applyAlignment="1">
      <alignment vertical="center"/>
    </xf>
    <xf numFmtId="187" fontId="25" fillId="36" borderId="83" xfId="57" applyNumberFormat="1" applyFont="1" applyFill="1" applyBorder="1" applyAlignment="1" applyProtection="1">
      <alignment horizontal="right" vertical="center"/>
      <protection locked="0"/>
    </xf>
    <xf numFmtId="187" fontId="20" fillId="0" borderId="0" xfId="0" applyNumberFormat="1" applyFont="1" applyFill="1" applyAlignment="1">
      <alignment horizontal="right" vertical="center"/>
    </xf>
    <xf numFmtId="0" fontId="13" fillId="37" borderId="72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187" fontId="21" fillId="35" borderId="89" xfId="0" applyNumberFormat="1" applyFont="1" applyFill="1" applyBorder="1" applyAlignment="1">
      <alignment horizontal="left" vertical="center"/>
    </xf>
    <xf numFmtId="187" fontId="15" fillId="35" borderId="42" xfId="0" applyNumberFormat="1" applyFont="1" applyFill="1" applyBorder="1" applyAlignment="1">
      <alignment vertical="center"/>
    </xf>
    <xf numFmtId="187" fontId="18" fillId="35" borderId="42" xfId="0" applyNumberFormat="1" applyFont="1" applyFill="1" applyBorder="1" applyAlignment="1">
      <alignment vertical="center"/>
    </xf>
    <xf numFmtId="187" fontId="15" fillId="35" borderId="20" xfId="0" applyNumberFormat="1" applyFont="1" applyFill="1" applyBorder="1" applyAlignment="1">
      <alignment vertical="center"/>
    </xf>
    <xf numFmtId="4" fontId="14" fillId="35" borderId="16" xfId="0" applyNumberFormat="1" applyFont="1" applyFill="1" applyBorder="1" applyAlignment="1">
      <alignment horizontal="right" vertical="center"/>
    </xf>
    <xf numFmtId="187" fontId="18" fillId="35" borderId="42" xfId="0" applyNumberFormat="1" applyFont="1" applyFill="1" applyBorder="1" applyAlignment="1">
      <alignment horizontal="center" vertical="center"/>
    </xf>
    <xf numFmtId="187" fontId="18" fillId="35" borderId="20" xfId="0" applyNumberFormat="1" applyFont="1" applyFill="1" applyBorder="1" applyAlignment="1">
      <alignment horizontal="center" vertical="center"/>
    </xf>
    <xf numFmtId="187" fontId="21" fillId="35" borderId="21" xfId="0" applyNumberFormat="1" applyFont="1" applyFill="1" applyBorder="1" applyAlignment="1">
      <alignment horizontal="left" vertical="center"/>
    </xf>
    <xf numFmtId="10" fontId="45" fillId="35" borderId="20" xfId="60" applyNumberFormat="1" applyFont="1" applyFill="1" applyBorder="1" applyAlignment="1">
      <alignment vertical="center"/>
    </xf>
    <xf numFmtId="187" fontId="18" fillId="35" borderId="22" xfId="0" applyNumberFormat="1" applyFont="1" applyFill="1" applyBorder="1" applyAlignment="1">
      <alignment horizontal="center" vertical="center"/>
    </xf>
    <xf numFmtId="187" fontId="15" fillId="35" borderId="23" xfId="0" applyNumberFormat="1" applyFont="1" applyFill="1" applyBorder="1" applyAlignment="1">
      <alignment vertical="center"/>
    </xf>
    <xf numFmtId="187" fontId="21" fillId="35" borderId="90" xfId="0" applyNumberFormat="1" applyFont="1" applyFill="1" applyBorder="1" applyAlignment="1">
      <alignment horizontal="left" vertical="center"/>
    </xf>
    <xf numFmtId="187" fontId="18" fillId="35" borderId="91" xfId="0" applyNumberFormat="1" applyFont="1" applyFill="1" applyBorder="1" applyAlignment="1">
      <alignment horizontal="center" vertical="center"/>
    </xf>
    <xf numFmtId="187" fontId="15" fillId="35" borderId="92" xfId="0" applyNumberFormat="1" applyFont="1" applyFill="1" applyBorder="1" applyAlignment="1">
      <alignment vertical="center"/>
    </xf>
    <xf numFmtId="4" fontId="14" fillId="35" borderId="93" xfId="0" applyNumberFormat="1" applyFont="1" applyFill="1" applyBorder="1" applyAlignment="1">
      <alignment horizontal="right" vertical="center"/>
    </xf>
    <xf numFmtId="0" fontId="4" fillId="0" borderId="94" xfId="70" applyFont="1" applyFill="1" applyBorder="1" applyAlignment="1" quotePrefix="1">
      <alignment horizontal="left" vertical="center"/>
      <protection/>
    </xf>
    <xf numFmtId="0" fontId="4" fillId="0" borderId="12" xfId="70" applyFont="1" applyFill="1" applyBorder="1" applyAlignment="1">
      <alignment horizontal="left" vertical="center"/>
      <protection/>
    </xf>
    <xf numFmtId="183" fontId="31" fillId="36" borderId="0" xfId="57" applyFont="1" applyFill="1" applyAlignment="1">
      <alignment vertical="center"/>
      <protection/>
    </xf>
    <xf numFmtId="183" fontId="44" fillId="36" borderId="0" xfId="57" applyFont="1" applyFill="1" applyAlignment="1">
      <alignment vertical="center"/>
      <protection/>
    </xf>
    <xf numFmtId="0" fontId="74" fillId="37" borderId="70" xfId="70" applyFont="1" applyFill="1" applyBorder="1" applyAlignment="1">
      <alignment horizontal="center" vertical="center"/>
      <protection/>
    </xf>
    <xf numFmtId="0" fontId="74" fillId="37" borderId="71" xfId="70" applyFont="1" applyFill="1" applyBorder="1" applyAlignment="1">
      <alignment horizontal="center" vertical="center"/>
      <protection/>
    </xf>
    <xf numFmtId="0" fontId="52" fillId="0" borderId="0" xfId="70" applyFont="1" applyFill="1" applyAlignment="1">
      <alignment horizontal="center" vertical="center"/>
      <protection/>
    </xf>
    <xf numFmtId="187" fontId="21" fillId="0" borderId="0" xfId="0" applyNumberFormat="1" applyFont="1" applyFill="1" applyAlignment="1">
      <alignment horizontal="right" vertical="center"/>
    </xf>
    <xf numFmtId="0" fontId="53" fillId="37" borderId="86" xfId="70" applyFont="1" applyFill="1" applyBorder="1" applyAlignment="1">
      <alignment horizontal="center" vertical="center"/>
      <protection/>
    </xf>
    <xf numFmtId="0" fontId="53" fillId="37" borderId="88" xfId="70" applyFont="1" applyFill="1" applyBorder="1" applyAlignment="1">
      <alignment horizontal="center" vertical="center"/>
      <protection/>
    </xf>
    <xf numFmtId="0" fontId="4" fillId="0" borderId="27" xfId="70" applyFont="1" applyFill="1" applyBorder="1" applyAlignment="1">
      <alignment horizontal="center" vertical="center"/>
      <protection/>
    </xf>
    <xf numFmtId="0" fontId="4" fillId="0" borderId="95" xfId="70" applyFont="1" applyFill="1" applyBorder="1" applyAlignment="1">
      <alignment horizontal="center" vertical="center"/>
      <protection/>
    </xf>
    <xf numFmtId="0" fontId="4" fillId="0" borderId="26" xfId="70" applyFont="1" applyFill="1" applyBorder="1" applyAlignment="1">
      <alignment horizontal="center" vertical="center"/>
      <protection/>
    </xf>
    <xf numFmtId="0" fontId="4" fillId="0" borderId="96" xfId="70" applyFont="1" applyFill="1" applyBorder="1" applyAlignment="1">
      <alignment horizontal="center" vertical="center"/>
      <protection/>
    </xf>
    <xf numFmtId="3" fontId="31" fillId="40" borderId="0" xfId="67" applyNumberFormat="1" applyFont="1" applyFill="1" applyAlignment="1">
      <alignment horizontal="center" vertical="center"/>
      <protection/>
    </xf>
    <xf numFmtId="4" fontId="14" fillId="0" borderId="54" xfId="0" applyNumberFormat="1" applyFont="1" applyFill="1" applyBorder="1" applyAlignment="1">
      <alignment vertical="center" wrapText="1"/>
    </xf>
    <xf numFmtId="187" fontId="25" fillId="0" borderId="29" xfId="57" applyNumberFormat="1" applyFont="1" applyFill="1" applyBorder="1" applyAlignment="1" applyProtection="1" quotePrefix="1">
      <alignment horizontal="right" vertical="center"/>
      <protection locked="0"/>
    </xf>
    <xf numFmtId="187" fontId="25" fillId="36" borderId="29" xfId="57" applyNumberFormat="1" applyFont="1" applyFill="1" applyBorder="1" applyAlignment="1" applyProtection="1">
      <alignment horizontal="right" vertical="center"/>
      <protection locked="0"/>
    </xf>
    <xf numFmtId="183" fontId="23" fillId="0" borderId="0" xfId="57" applyFont="1" applyFill="1" applyBorder="1" applyAlignment="1" applyProtection="1">
      <alignment horizontal="left" vertical="center" wrapText="1"/>
      <protection locked="0"/>
    </xf>
    <xf numFmtId="183" fontId="25" fillId="35" borderId="29" xfId="57" applyFont="1" applyFill="1" applyBorder="1" applyAlignment="1" applyProtection="1">
      <alignment horizontal="left" vertical="center" wrapText="1"/>
      <protection locked="0"/>
    </xf>
    <xf numFmtId="10" fontId="31" fillId="0" borderId="0" xfId="60" applyNumberFormat="1" applyFont="1" applyAlignment="1">
      <alignment vertical="center"/>
    </xf>
    <xf numFmtId="183" fontId="14" fillId="0" borderId="0" xfId="57" applyFont="1" applyAlignment="1" quotePrefix="1">
      <alignment vertical="center"/>
      <protection/>
    </xf>
    <xf numFmtId="183" fontId="25" fillId="0" borderId="29" xfId="57" applyFont="1" applyFill="1" applyBorder="1" applyAlignment="1" applyProtection="1">
      <alignment horizontal="left" vertical="center" wrapText="1"/>
      <protection locked="0"/>
    </xf>
    <xf numFmtId="4" fontId="59" fillId="43" borderId="0" xfId="0" applyNumberFormat="1" applyFont="1" applyFill="1" applyAlignment="1">
      <alignment vertical="center"/>
    </xf>
    <xf numFmtId="4" fontId="59" fillId="0" borderId="0" xfId="0" applyNumberFormat="1" applyFont="1" applyAlignment="1">
      <alignment vertical="center"/>
    </xf>
    <xf numFmtId="9" fontId="64" fillId="38" borderId="52" xfId="60" applyFont="1" applyFill="1" applyBorder="1" applyAlignment="1" quotePrefix="1">
      <alignment horizontal="center" vertical="center"/>
    </xf>
    <xf numFmtId="186" fontId="34" fillId="40" borderId="29" xfId="57" applyNumberFormat="1" applyFont="1" applyFill="1" applyBorder="1" applyAlignment="1" applyProtection="1">
      <alignment horizontal="center" vertical="center"/>
      <protection locked="0"/>
    </xf>
    <xf numFmtId="10" fontId="34" fillId="40" borderId="29" xfId="60" applyNumberFormat="1" applyFont="1" applyFill="1" applyBorder="1" applyAlignment="1" applyProtection="1">
      <alignment horizontal="center" vertical="center"/>
      <protection locked="0"/>
    </xf>
    <xf numFmtId="190" fontId="34" fillId="40" borderId="29" xfId="57" applyNumberFormat="1" applyFont="1" applyFill="1" applyBorder="1" applyAlignment="1" applyProtection="1">
      <alignment horizontal="center" vertical="center"/>
      <protection locked="0"/>
    </xf>
    <xf numFmtId="0" fontId="4" fillId="0" borderId="0" xfId="75" applyFont="1" applyBorder="1" applyAlignment="1">
      <alignment vertical="center"/>
      <protection/>
    </xf>
    <xf numFmtId="0" fontId="4" fillId="0" borderId="0" xfId="75" applyFont="1" applyFill="1" applyBorder="1" applyAlignment="1">
      <alignment vertical="center"/>
      <protection/>
    </xf>
    <xf numFmtId="0" fontId="13" fillId="38" borderId="86" xfId="73" applyFont="1" applyFill="1" applyBorder="1" applyAlignment="1">
      <alignment horizontal="right" vertical="center"/>
      <protection/>
    </xf>
    <xf numFmtId="9" fontId="64" fillId="38" borderId="70" xfId="60" applyFont="1" applyFill="1" applyBorder="1" applyAlignment="1" quotePrefix="1">
      <alignment horizontal="center" vertical="center"/>
    </xf>
    <xf numFmtId="9" fontId="64" fillId="38" borderId="70" xfId="60" applyFont="1" applyFill="1" applyBorder="1" applyAlignment="1">
      <alignment horizontal="center" vertical="center"/>
    </xf>
    <xf numFmtId="3" fontId="10" fillId="0" borderId="29" xfId="75" applyNumberFormat="1" applyFont="1" applyBorder="1" applyAlignment="1">
      <alignment horizontal="center" vertical="center"/>
      <protection/>
    </xf>
    <xf numFmtId="3" fontId="10" fillId="0" borderId="29" xfId="75" applyNumberFormat="1" applyFont="1" applyFill="1" applyBorder="1" applyAlignment="1">
      <alignment horizontal="center" vertical="center"/>
      <protection/>
    </xf>
    <xf numFmtId="3" fontId="10" fillId="33" borderId="29" xfId="75" applyNumberFormat="1" applyFont="1" applyFill="1" applyBorder="1" applyAlignment="1">
      <alignment horizontal="center" vertical="center"/>
      <protection/>
    </xf>
    <xf numFmtId="10" fontId="10" fillId="0" borderId="29" xfId="60" applyNumberFormat="1" applyFont="1" applyBorder="1" applyAlignment="1">
      <alignment horizontal="center" vertical="center"/>
    </xf>
    <xf numFmtId="10" fontId="10" fillId="0" borderId="29" xfId="60" applyNumberFormat="1" applyFont="1" applyFill="1" applyBorder="1" applyAlignment="1">
      <alignment horizontal="center" vertical="center"/>
    </xf>
    <xf numFmtId="10" fontId="10" fillId="33" borderId="29" xfId="60" applyNumberFormat="1" applyFont="1" applyFill="1" applyBorder="1" applyAlignment="1">
      <alignment horizontal="center" vertical="center"/>
    </xf>
    <xf numFmtId="2" fontId="10" fillId="0" borderId="29" xfId="75" applyNumberFormat="1" applyFont="1" applyFill="1" applyBorder="1" applyAlignment="1">
      <alignment horizontal="center" vertical="center"/>
      <protection/>
    </xf>
    <xf numFmtId="2" fontId="10" fillId="33" borderId="29" xfId="75" applyNumberFormat="1" applyFont="1" applyFill="1" applyBorder="1" applyAlignment="1">
      <alignment horizontal="center" vertical="center"/>
      <protection/>
    </xf>
    <xf numFmtId="0" fontId="1" fillId="44" borderId="29" xfId="75" applyFont="1" applyFill="1" applyBorder="1" applyAlignment="1">
      <alignment vertical="center" wrapText="1"/>
      <protection/>
    </xf>
    <xf numFmtId="0" fontId="10" fillId="0" borderId="0" xfId="76" applyFont="1" applyBorder="1" applyAlignment="1" quotePrefix="1">
      <alignment horizontal="right" vertical="center"/>
      <protection/>
    </xf>
    <xf numFmtId="0" fontId="10" fillId="0" borderId="0" xfId="76" applyFont="1" applyAlignment="1" quotePrefix="1">
      <alignment horizontal="right" vertical="center"/>
      <protection/>
    </xf>
    <xf numFmtId="0" fontId="58" fillId="40" borderId="29" xfId="67" applyFont="1" applyFill="1" applyBorder="1" applyAlignment="1">
      <alignment horizontal="centerContinuous" vertical="center"/>
      <protection/>
    </xf>
    <xf numFmtId="38" fontId="57" fillId="40" borderId="29" xfId="57" applyNumberFormat="1" applyFont="1" applyFill="1" applyBorder="1" applyAlignment="1" applyProtection="1">
      <alignment horizontal="centerContinuous" vertical="center"/>
      <protection locked="0"/>
    </xf>
    <xf numFmtId="4" fontId="34" fillId="40" borderId="29" xfId="57" applyNumberFormat="1" applyFont="1" applyFill="1" applyBorder="1" applyAlignment="1">
      <alignment horizontal="center" vertical="center"/>
      <protection/>
    </xf>
    <xf numFmtId="187" fontId="30" fillId="37" borderId="35" xfId="0" applyNumberFormat="1" applyFont="1" applyFill="1" applyBorder="1" applyAlignment="1">
      <alignment horizontal="center" vertical="center" wrapText="1"/>
    </xf>
    <xf numFmtId="4" fontId="20" fillId="0" borderId="97" xfId="69" applyNumberFormat="1" applyFont="1" applyBorder="1" applyAlignment="1">
      <alignment horizontal="center" vertical="center"/>
      <protection/>
    </xf>
    <xf numFmtId="4" fontId="20" fillId="0" borderId="98" xfId="69" applyNumberFormat="1" applyFont="1" applyBorder="1" applyAlignment="1">
      <alignment horizontal="center" vertical="center"/>
      <protection/>
    </xf>
    <xf numFmtId="4" fontId="20" fillId="0" borderId="99" xfId="69" applyNumberFormat="1" applyFont="1" applyBorder="1" applyAlignment="1">
      <alignment horizontal="center" vertical="center"/>
      <protection/>
    </xf>
    <xf numFmtId="0" fontId="23" fillId="36" borderId="46" xfId="66" applyFont="1" applyFill="1" applyBorder="1" applyAlignment="1" applyProtection="1" quotePrefix="1">
      <alignment horizontal="centerContinuous" vertical="center"/>
      <protection locked="0"/>
    </xf>
    <xf numFmtId="0" fontId="23" fillId="36" borderId="100" xfId="66" applyFont="1" applyFill="1" applyBorder="1" applyAlignment="1" applyProtection="1" quotePrefix="1">
      <alignment horizontal="centerContinuous" vertical="center"/>
      <protection locked="0"/>
    </xf>
    <xf numFmtId="3" fontId="23" fillId="36" borderId="101" xfId="66" applyNumberFormat="1" applyFont="1" applyFill="1" applyBorder="1" applyAlignment="1" applyProtection="1">
      <alignment horizontal="center" vertical="center"/>
      <protection locked="0"/>
    </xf>
    <xf numFmtId="185" fontId="23" fillId="36" borderId="101" xfId="66" applyNumberFormat="1" applyFont="1" applyFill="1" applyBorder="1" applyAlignment="1" applyProtection="1">
      <alignment horizontal="center" vertical="center"/>
      <protection locked="0"/>
    </xf>
    <xf numFmtId="186" fontId="23" fillId="36" borderId="102" xfId="66" applyNumberFormat="1" applyFont="1" applyFill="1" applyBorder="1" applyAlignment="1" applyProtection="1">
      <alignment horizontal="center" vertical="center"/>
      <protection locked="0"/>
    </xf>
    <xf numFmtId="38" fontId="28" fillId="36" borderId="103" xfId="66" applyNumberFormat="1" applyFont="1" applyFill="1" applyBorder="1" applyAlignment="1" quotePrefix="1">
      <alignment horizontal="center" vertical="center"/>
      <protection/>
    </xf>
    <xf numFmtId="0" fontId="24" fillId="45" borderId="104" xfId="0" applyFont="1" applyFill="1" applyBorder="1" applyAlignment="1">
      <alignment horizontal="center"/>
    </xf>
    <xf numFmtId="0" fontId="24" fillId="45" borderId="105" xfId="0" applyFont="1" applyFill="1" applyBorder="1" applyAlignment="1">
      <alignment horizontal="center"/>
    </xf>
    <xf numFmtId="0" fontId="12" fillId="45" borderId="106" xfId="0" applyFont="1" applyFill="1" applyBorder="1" applyAlignment="1">
      <alignment horizontal="center" vertical="center"/>
    </xf>
    <xf numFmtId="0" fontId="12" fillId="45" borderId="107" xfId="0" applyFont="1" applyFill="1" applyBorder="1" applyAlignment="1">
      <alignment horizontal="center" vertical="center"/>
    </xf>
    <xf numFmtId="0" fontId="13" fillId="37" borderId="108" xfId="0" applyFont="1" applyFill="1" applyBorder="1" applyAlignment="1">
      <alignment horizontal="center" vertical="center" wrapText="1"/>
    </xf>
    <xf numFmtId="183" fontId="18" fillId="0" borderId="0" xfId="57" applyFont="1" applyFill="1" applyAlignment="1">
      <alignment vertical="center"/>
      <protection/>
    </xf>
    <xf numFmtId="0" fontId="76" fillId="37" borderId="70" xfId="65" applyFont="1" applyFill="1" applyBorder="1" applyAlignment="1">
      <alignment horizontal="center" vertical="center"/>
      <protection/>
    </xf>
    <xf numFmtId="0" fontId="18" fillId="35" borderId="101" xfId="65" applyFont="1" applyFill="1" applyBorder="1" applyAlignment="1">
      <alignment vertical="center"/>
      <protection/>
    </xf>
    <xf numFmtId="183" fontId="77" fillId="35" borderId="109" xfId="57" applyFont="1" applyFill="1" applyBorder="1" applyAlignment="1">
      <alignment horizontal="center" vertical="center"/>
      <protection/>
    </xf>
    <xf numFmtId="186" fontId="77" fillId="35" borderId="110" xfId="57" applyNumberFormat="1" applyFont="1" applyFill="1" applyBorder="1" applyAlignment="1" applyProtection="1">
      <alignment horizontal="right" vertical="center"/>
      <protection locked="0"/>
    </xf>
    <xf numFmtId="0" fontId="74" fillId="37" borderId="70" xfId="70" applyFont="1" applyFill="1" applyBorder="1" applyAlignment="1" quotePrefix="1">
      <alignment horizontal="left" vertical="center"/>
      <protection/>
    </xf>
    <xf numFmtId="0" fontId="9" fillId="0" borderId="12" xfId="70" applyFont="1" applyFill="1" applyBorder="1" applyAlignment="1" quotePrefix="1">
      <alignment horizontal="right" vertical="center"/>
      <protection/>
    </xf>
    <xf numFmtId="3" fontId="9" fillId="0" borderId="17" xfId="70" applyNumberFormat="1" applyFont="1" applyFill="1" applyBorder="1" applyAlignment="1">
      <alignment horizontal="right" vertical="center"/>
      <protection/>
    </xf>
    <xf numFmtId="3" fontId="9" fillId="0" borderId="12" xfId="70" applyNumberFormat="1" applyFont="1" applyFill="1" applyBorder="1" applyAlignment="1" quotePrefix="1">
      <alignment horizontal="right" vertical="center"/>
      <protection/>
    </xf>
    <xf numFmtId="3" fontId="9" fillId="0" borderId="94" xfId="70" applyNumberFormat="1" applyFont="1" applyFill="1" applyBorder="1" applyAlignment="1">
      <alignment horizontal="right" vertical="center"/>
      <protection/>
    </xf>
    <xf numFmtId="3" fontId="61" fillId="0" borderId="18" xfId="70" applyNumberFormat="1" applyFont="1" applyFill="1" applyBorder="1" applyAlignment="1">
      <alignment horizontal="right" vertical="center"/>
      <protection/>
    </xf>
    <xf numFmtId="3" fontId="61" fillId="0" borderId="94" xfId="70" applyNumberFormat="1" applyFont="1" applyFill="1" applyBorder="1" applyAlignment="1">
      <alignment horizontal="right" vertical="center"/>
      <protection/>
    </xf>
    <xf numFmtId="9" fontId="64" fillId="38" borderId="66" xfId="60" applyFont="1" applyFill="1" applyBorder="1" applyAlignment="1">
      <alignment horizontal="center" vertical="center"/>
    </xf>
    <xf numFmtId="0" fontId="78" fillId="0" borderId="0" xfId="72" applyFont="1" applyAlignment="1">
      <alignment vertical="center"/>
      <protection/>
    </xf>
    <xf numFmtId="0" fontId="79" fillId="0" borderId="0" xfId="72" applyFont="1" applyAlignment="1">
      <alignment vertical="center"/>
      <protection/>
    </xf>
    <xf numFmtId="187" fontId="82" fillId="4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3" fillId="43" borderId="0" xfId="74" applyFont="1" applyFill="1" applyAlignment="1">
      <alignment horizontal="center" vertical="center"/>
      <protection/>
    </xf>
    <xf numFmtId="187" fontId="75" fillId="36" borderId="29" xfId="57" applyNumberFormat="1" applyFont="1" applyFill="1" applyBorder="1" applyAlignment="1" applyProtection="1">
      <alignment horizontal="right" vertical="center"/>
      <protection locked="0"/>
    </xf>
    <xf numFmtId="0" fontId="36" fillId="37" borderId="111" xfId="65" applyFont="1" applyFill="1" applyBorder="1" applyAlignment="1">
      <alignment horizontal="center" vertical="center"/>
      <protection/>
    </xf>
    <xf numFmtId="0" fontId="24" fillId="37" borderId="112" xfId="57" applyNumberFormat="1" applyFont="1" applyFill="1" applyBorder="1" applyAlignment="1" applyProtection="1">
      <alignment horizontal="center" vertical="center"/>
      <protection locked="0"/>
    </xf>
    <xf numFmtId="183" fontId="14" fillId="0" borderId="29" xfId="57" applyFont="1" applyFill="1" applyBorder="1" applyAlignment="1" applyProtection="1">
      <alignment horizontal="left" vertical="center" wrapText="1"/>
      <protection locked="0"/>
    </xf>
    <xf numFmtId="187" fontId="25" fillId="0" borderId="30" xfId="57" applyNumberFormat="1" applyFont="1" applyFill="1" applyBorder="1" applyAlignment="1" applyProtection="1" quotePrefix="1">
      <alignment horizontal="right" vertical="center"/>
      <protection locked="0"/>
    </xf>
    <xf numFmtId="187" fontId="75" fillId="0" borderId="29" xfId="57" applyNumberFormat="1" applyFont="1" applyFill="1" applyBorder="1" applyAlignment="1" applyProtection="1" quotePrefix="1">
      <alignment horizontal="right" vertical="center"/>
      <protection locked="0"/>
    </xf>
    <xf numFmtId="3" fontId="31" fillId="0" borderId="46" xfId="57" applyNumberFormat="1" applyFont="1" applyFill="1" applyBorder="1" applyAlignment="1" applyProtection="1">
      <alignment horizontal="centerContinuous" vertical="center"/>
      <protection locked="0"/>
    </xf>
    <xf numFmtId="0" fontId="75" fillId="0" borderId="47" xfId="65" applyFont="1" applyFill="1" applyBorder="1" applyAlignment="1">
      <alignment horizontal="centerContinuous" vertical="center"/>
      <protection/>
    </xf>
    <xf numFmtId="38" fontId="85" fillId="0" borderId="12" xfId="57" applyNumberFormat="1" applyFont="1" applyFill="1" applyBorder="1" applyAlignment="1" applyProtection="1">
      <alignment horizontal="centerContinuous" vertical="center"/>
      <protection locked="0"/>
    </xf>
    <xf numFmtId="186" fontId="86" fillId="0" borderId="29" xfId="57" applyNumberFormat="1" applyFont="1" applyFill="1" applyBorder="1" applyAlignment="1" applyProtection="1">
      <alignment horizontal="center" vertical="center"/>
      <protection locked="0"/>
    </xf>
    <xf numFmtId="183" fontId="87" fillId="0" borderId="12" xfId="57" applyFont="1" applyFill="1" applyBorder="1" applyAlignment="1">
      <alignment horizontal="centerContinuous" vertical="center"/>
      <protection/>
    </xf>
    <xf numFmtId="0" fontId="87" fillId="0" borderId="12" xfId="67" applyFont="1" applyFill="1" applyBorder="1" applyAlignment="1">
      <alignment horizontal="centerContinuous" vertical="center"/>
      <protection/>
    </xf>
    <xf numFmtId="0" fontId="87" fillId="0" borderId="48" xfId="67" applyFont="1" applyFill="1" applyBorder="1" applyAlignment="1">
      <alignment horizontal="centerContinuous" vertical="center"/>
      <protection/>
    </xf>
    <xf numFmtId="0" fontId="0" fillId="0" borderId="0" xfId="0" applyAlignment="1">
      <alignment horizontal="right" vertical="center" wrapText="1"/>
    </xf>
    <xf numFmtId="0" fontId="4" fillId="43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43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4" fillId="0" borderId="0" xfId="0" applyFont="1" applyAlignment="1" quotePrefix="1">
      <alignment vertical="center" wrapText="1"/>
    </xf>
    <xf numFmtId="0" fontId="4" fillId="4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9" fontId="50" fillId="0" borderId="0" xfId="0" applyNumberFormat="1" applyFont="1" applyAlignment="1">
      <alignment horizontal="right" vertical="center" wrapText="1"/>
    </xf>
    <xf numFmtId="186" fontId="86" fillId="0" borderId="29" xfId="57" applyNumberFormat="1" applyFont="1" applyFill="1" applyBorder="1" applyAlignment="1" applyProtection="1">
      <alignment horizontal="right" vertical="center"/>
      <protection locked="0"/>
    </xf>
    <xf numFmtId="10" fontId="87" fillId="0" borderId="12" xfId="60" applyNumberFormat="1" applyFont="1" applyFill="1" applyBorder="1" applyAlignment="1">
      <alignment horizontal="centerContinuous" vertical="center"/>
    </xf>
    <xf numFmtId="183" fontId="23" fillId="0" borderId="113" xfId="57" applyFont="1" applyFill="1" applyBorder="1" applyAlignment="1" applyProtection="1">
      <alignment horizontal="left" vertical="center"/>
      <protection locked="0"/>
    </xf>
    <xf numFmtId="183" fontId="23" fillId="0" borderId="22" xfId="57" applyFont="1" applyFill="1" applyBorder="1" applyAlignment="1">
      <alignment horizontal="left" vertical="center"/>
      <protection/>
    </xf>
    <xf numFmtId="0" fontId="21" fillId="0" borderId="23" xfId="65" applyFont="1" applyFill="1" applyBorder="1" applyAlignment="1">
      <alignment horizontal="left" vertical="center"/>
      <protection/>
    </xf>
    <xf numFmtId="10" fontId="87" fillId="0" borderId="16" xfId="60" applyNumberFormat="1" applyFont="1" applyFill="1" applyBorder="1" applyAlignment="1">
      <alignment horizontal="centerContinuous" vertical="center"/>
    </xf>
    <xf numFmtId="186" fontId="86" fillId="0" borderId="30" xfId="57" applyNumberFormat="1" applyFont="1" applyFill="1" applyBorder="1" applyAlignment="1" applyProtection="1">
      <alignment horizontal="right" vertical="center"/>
      <protection locked="0"/>
    </xf>
    <xf numFmtId="0" fontId="20" fillId="0" borderId="98" xfId="65" applyFont="1" applyFill="1" applyBorder="1" applyAlignment="1">
      <alignment horizontal="center" vertical="center"/>
      <protection/>
    </xf>
    <xf numFmtId="186" fontId="86" fillId="0" borderId="85" xfId="57" applyNumberFormat="1" applyFont="1" applyFill="1" applyBorder="1" applyAlignment="1" applyProtection="1">
      <alignment horizontal="right" vertical="center"/>
      <protection locked="0"/>
    </xf>
    <xf numFmtId="0" fontId="20" fillId="0" borderId="85" xfId="65" applyFont="1" applyFill="1" applyBorder="1" applyAlignment="1">
      <alignment horizontal="center" vertical="center"/>
      <protection/>
    </xf>
    <xf numFmtId="186" fontId="86" fillId="0" borderId="24" xfId="57" applyNumberFormat="1" applyFont="1" applyFill="1" applyBorder="1" applyAlignment="1" applyProtection="1">
      <alignment horizontal="right" vertical="center"/>
      <protection locked="0"/>
    </xf>
    <xf numFmtId="0" fontId="20" fillId="0" borderId="114" xfId="65" applyFont="1" applyFill="1" applyBorder="1" applyAlignment="1">
      <alignment horizontal="center" vertical="center"/>
      <protection/>
    </xf>
    <xf numFmtId="10" fontId="86" fillId="0" borderId="29" xfId="60" applyNumberFormat="1" applyFont="1" applyFill="1" applyBorder="1" applyAlignment="1" applyProtection="1">
      <alignment horizontal="center" vertical="center"/>
      <protection locked="0"/>
    </xf>
    <xf numFmtId="183" fontId="25" fillId="0" borderId="115" xfId="57" applyFont="1" applyFill="1" applyBorder="1" applyAlignment="1" quotePrefix="1">
      <alignment horizontal="center" vertical="center"/>
      <protection/>
    </xf>
    <xf numFmtId="0" fontId="13" fillId="37" borderId="111" xfId="0" applyFont="1" applyFill="1" applyBorder="1" applyAlignment="1">
      <alignment horizontal="center" vertical="center"/>
    </xf>
    <xf numFmtId="0" fontId="13" fillId="37" borderId="116" xfId="0" applyFont="1" applyFill="1" applyBorder="1" applyAlignment="1">
      <alignment horizontal="center" vertical="center"/>
    </xf>
    <xf numFmtId="0" fontId="13" fillId="37" borderId="112" xfId="0" applyFont="1" applyFill="1" applyBorder="1" applyAlignment="1">
      <alignment horizontal="center" vertical="center"/>
    </xf>
    <xf numFmtId="10" fontId="64" fillId="41" borderId="71" xfId="0" applyNumberFormat="1" applyFont="1" applyFill="1" applyBorder="1" applyAlignment="1">
      <alignment horizontal="center" vertical="center"/>
    </xf>
    <xf numFmtId="0" fontId="89" fillId="0" borderId="24" xfId="0" applyFont="1" applyBorder="1" applyAlignment="1" quotePrefix="1">
      <alignment vertical="center"/>
    </xf>
    <xf numFmtId="4" fontId="9" fillId="33" borderId="29" xfId="0" applyNumberFormat="1" applyFont="1" applyFill="1" applyBorder="1" applyAlignment="1">
      <alignment vertical="center"/>
    </xf>
    <xf numFmtId="4" fontId="49" fillId="36" borderId="30" xfId="0" applyNumberFormat="1" applyFont="1" applyFill="1" applyBorder="1" applyAlignment="1">
      <alignment vertical="center"/>
    </xf>
    <xf numFmtId="4" fontId="49" fillId="36" borderId="29" xfId="0" applyNumberFormat="1" applyFont="1" applyFill="1" applyBorder="1" applyAlignment="1">
      <alignment vertical="center"/>
    </xf>
    <xf numFmtId="4" fontId="88" fillId="36" borderId="29" xfId="0" applyNumberFormat="1" applyFont="1" applyFill="1" applyBorder="1" applyAlignment="1">
      <alignment vertical="center"/>
    </xf>
    <xf numFmtId="191" fontId="4" fillId="33" borderId="29" xfId="0" applyNumberFormat="1" applyFont="1" applyFill="1" applyBorder="1" applyAlignment="1">
      <alignment vertical="center"/>
    </xf>
    <xf numFmtId="191" fontId="4" fillId="33" borderId="85" xfId="0" applyNumberFormat="1" applyFont="1" applyFill="1" applyBorder="1" applyAlignment="1">
      <alignment vertical="center"/>
    </xf>
    <xf numFmtId="4" fontId="34" fillId="0" borderId="29" xfId="57" applyNumberFormat="1" applyFont="1" applyFill="1" applyBorder="1" applyAlignment="1" applyProtection="1">
      <alignment horizontal="center" vertical="center"/>
      <protection locked="0"/>
    </xf>
    <xf numFmtId="9" fontId="31" fillId="40" borderId="0" xfId="60" applyFont="1" applyFill="1" applyAlignment="1">
      <alignment horizontal="center" vertical="center"/>
    </xf>
    <xf numFmtId="10" fontId="31" fillId="40" borderId="0" xfId="60" applyNumberFormat="1" applyFont="1" applyFill="1" applyAlignment="1">
      <alignment horizontal="center" vertical="center"/>
    </xf>
    <xf numFmtId="0" fontId="14" fillId="0" borderId="12" xfId="0" applyFont="1" applyBorder="1" applyAlignment="1">
      <alignment wrapText="1"/>
    </xf>
    <xf numFmtId="0" fontId="14" fillId="0" borderId="2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vertical="top" wrapText="1"/>
    </xf>
    <xf numFmtId="4" fontId="14" fillId="0" borderId="29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16" fillId="36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vertical="top" wrapText="1"/>
    </xf>
    <xf numFmtId="0" fontId="18" fillId="0" borderId="25" xfId="0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4" fillId="0" borderId="85" xfId="0" applyFont="1" applyBorder="1" applyAlignment="1">
      <alignment horizontal="center" vertical="center"/>
    </xf>
    <xf numFmtId="0" fontId="14" fillId="0" borderId="85" xfId="0" applyFont="1" applyBorder="1" applyAlignment="1">
      <alignment vertical="top" wrapText="1"/>
    </xf>
    <xf numFmtId="0" fontId="14" fillId="0" borderId="85" xfId="0" applyFont="1" applyBorder="1" applyAlignment="1">
      <alignment horizontal="center" vertical="top" wrapText="1"/>
    </xf>
    <xf numFmtId="4" fontId="14" fillId="0" borderId="85" xfId="0" applyNumberFormat="1" applyFont="1" applyBorder="1" applyAlignment="1">
      <alignment horizontal="right" vertical="top" wrapText="1"/>
    </xf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horizontal="center" vertical="top" wrapText="1"/>
    </xf>
    <xf numFmtId="4" fontId="14" fillId="0" borderId="30" xfId="0" applyNumberFormat="1" applyFont="1" applyBorder="1" applyAlignment="1">
      <alignment horizontal="right" vertical="top" wrapText="1"/>
    </xf>
    <xf numFmtId="4" fontId="91" fillId="35" borderId="29" xfId="0" applyNumberFormat="1" applyFont="1" applyFill="1" applyBorder="1" applyAlignment="1">
      <alignment/>
    </xf>
    <xf numFmtId="4" fontId="92" fillId="36" borderId="24" xfId="0" applyNumberFormat="1" applyFont="1" applyFill="1" applyBorder="1" applyAlignment="1">
      <alignment horizontal="right" vertical="top" wrapText="1"/>
    </xf>
    <xf numFmtId="4" fontId="92" fillId="36" borderId="29" xfId="0" applyNumberFormat="1" applyFont="1" applyFill="1" applyBorder="1" applyAlignment="1">
      <alignment horizontal="right" vertical="top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justify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right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justify" vertical="center" wrapText="1"/>
    </xf>
    <xf numFmtId="4" fontId="14" fillId="0" borderId="85" xfId="0" applyNumberFormat="1" applyFont="1" applyBorder="1" applyAlignment="1">
      <alignment horizontal="right" vertical="center" wrapText="1"/>
    </xf>
    <xf numFmtId="4" fontId="91" fillId="35" borderId="24" xfId="0" applyNumberFormat="1" applyFont="1" applyFill="1" applyBorder="1" applyAlignment="1">
      <alignment vertical="center"/>
    </xf>
    <xf numFmtId="0" fontId="24" fillId="45" borderId="105" xfId="0" applyFont="1" applyFill="1" applyBorder="1" applyAlignment="1">
      <alignment horizontal="center" vertical="center"/>
    </xf>
    <xf numFmtId="187" fontId="30" fillId="37" borderId="116" xfId="0" applyNumberFormat="1" applyFont="1" applyFill="1" applyBorder="1" applyAlignment="1">
      <alignment horizontal="center" vertical="center" wrapText="1"/>
    </xf>
    <xf numFmtId="0" fontId="14" fillId="0" borderId="29" xfId="74" applyFont="1" applyFill="1" applyBorder="1" applyAlignment="1">
      <alignment horizontal="center" vertical="center"/>
      <protection/>
    </xf>
    <xf numFmtId="0" fontId="14" fillId="0" borderId="29" xfId="74" applyFont="1" applyFill="1" applyBorder="1" applyAlignment="1">
      <alignment vertical="center"/>
      <protection/>
    </xf>
    <xf numFmtId="0" fontId="14" fillId="0" borderId="85" xfId="74" applyFont="1" applyFill="1" applyBorder="1" applyAlignment="1">
      <alignment horizontal="center" vertical="center"/>
      <protection/>
    </xf>
    <xf numFmtId="0" fontId="14" fillId="0" borderId="85" xfId="74" applyFont="1" applyFill="1" applyBorder="1" applyAlignment="1">
      <alignment vertical="center"/>
      <protection/>
    </xf>
    <xf numFmtId="0" fontId="15" fillId="36" borderId="55" xfId="74" applyFill="1" applyBorder="1" applyAlignment="1">
      <alignment vertical="center"/>
      <protection/>
    </xf>
    <xf numFmtId="0" fontId="15" fillId="36" borderId="117" xfId="74" applyFill="1" applyBorder="1" applyAlignment="1">
      <alignment vertical="center"/>
      <protection/>
    </xf>
    <xf numFmtId="0" fontId="15" fillId="36" borderId="29" xfId="74" applyFill="1" applyBorder="1" applyAlignment="1">
      <alignment vertical="center"/>
      <protection/>
    </xf>
    <xf numFmtId="0" fontId="20" fillId="36" borderId="55" xfId="74" applyFont="1" applyFill="1" applyBorder="1" applyAlignment="1">
      <alignment horizontal="right" vertical="center"/>
      <protection/>
    </xf>
    <xf numFmtId="4" fontId="20" fillId="35" borderId="24" xfId="74" applyNumberFormat="1" applyFont="1" applyFill="1" applyBorder="1" applyAlignment="1">
      <alignment vertical="center"/>
      <protection/>
    </xf>
    <xf numFmtId="4" fontId="14" fillId="0" borderId="29" xfId="74" applyNumberFormat="1" applyFont="1" applyFill="1" applyBorder="1" applyAlignment="1">
      <alignment vertical="center"/>
      <protection/>
    </xf>
    <xf numFmtId="0" fontId="15" fillId="0" borderId="29" xfId="74" applyFont="1" applyBorder="1" applyAlignment="1">
      <alignment vertical="center"/>
      <protection/>
    </xf>
    <xf numFmtId="4" fontId="14" fillId="0" borderId="85" xfId="74" applyNumberFormat="1" applyFont="1" applyFill="1" applyBorder="1" applyAlignment="1">
      <alignment vertical="center"/>
      <protection/>
    </xf>
    <xf numFmtId="0" fontId="21" fillId="36" borderId="55" xfId="74" applyFont="1" applyFill="1" applyBorder="1" applyAlignment="1">
      <alignment horizontal="left" vertical="center"/>
      <protection/>
    </xf>
    <xf numFmtId="0" fontId="21" fillId="36" borderId="117" xfId="74" applyFont="1" applyFill="1" applyBorder="1" applyAlignment="1">
      <alignment horizontal="left" vertical="center"/>
      <protection/>
    </xf>
    <xf numFmtId="4" fontId="93" fillId="0" borderId="29" xfId="74" applyNumberFormat="1" applyFont="1" applyFill="1" applyBorder="1" applyAlignment="1">
      <alignment vertical="center"/>
      <protection/>
    </xf>
    <xf numFmtId="4" fontId="92" fillId="35" borderId="24" xfId="74" applyNumberFormat="1" applyFont="1" applyFill="1" applyBorder="1" applyAlignment="1">
      <alignment vertical="center"/>
      <protection/>
    </xf>
    <xf numFmtId="0" fontId="0" fillId="0" borderId="29" xfId="0" applyBorder="1" applyAlignment="1">
      <alignment vertical="center" wrapText="1"/>
    </xf>
    <xf numFmtId="187" fontId="16" fillId="36" borderId="118" xfId="0" applyNumberFormat="1" applyFont="1" applyFill="1" applyBorder="1" applyAlignment="1">
      <alignment horizontal="left" vertical="center"/>
    </xf>
    <xf numFmtId="4" fontId="8" fillId="0" borderId="29" xfId="0" applyNumberFormat="1" applyFont="1" applyBorder="1" applyAlignment="1">
      <alignment vertical="center" wrapText="1"/>
    </xf>
    <xf numFmtId="2" fontId="8" fillId="0" borderId="29" xfId="0" applyNumberFormat="1" applyFont="1" applyBorder="1" applyAlignment="1">
      <alignment vertical="center"/>
    </xf>
    <xf numFmtId="2" fontId="8" fillId="0" borderId="29" xfId="0" applyNumberFormat="1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4" fontId="10" fillId="36" borderId="83" xfId="0" applyNumberFormat="1" applyFont="1" applyFill="1" applyBorder="1" applyAlignment="1">
      <alignment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4" fontId="59" fillId="43" borderId="0" xfId="0" applyNumberFormat="1" applyFont="1" applyFill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3" fontId="15" fillId="0" borderId="29" xfId="0" applyNumberFormat="1" applyFont="1" applyBorder="1" applyAlignment="1">
      <alignment horizontal="center" vertical="center" wrapText="1"/>
    </xf>
    <xf numFmtId="3" fontId="15" fillId="36" borderId="24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" fontId="15" fillId="0" borderId="29" xfId="0" applyNumberFormat="1" applyFont="1" applyFill="1" applyBorder="1" applyAlignment="1">
      <alignment horizontal="left" vertical="center" wrapText="1"/>
    </xf>
    <xf numFmtId="4" fontId="59" fillId="0" borderId="0" xfId="0" applyNumberFormat="1" applyFont="1" applyFill="1" applyAlignment="1">
      <alignment vertical="center" wrapText="1"/>
    </xf>
    <xf numFmtId="4" fontId="18" fillId="0" borderId="39" xfId="0" applyNumberFormat="1" applyFont="1" applyFill="1" applyBorder="1" applyAlignment="1">
      <alignment vertical="center" wrapText="1"/>
    </xf>
    <xf numFmtId="4" fontId="18" fillId="0" borderId="54" xfId="0" applyNumberFormat="1" applyFont="1" applyFill="1" applyBorder="1" applyAlignment="1">
      <alignment vertical="center" wrapText="1"/>
    </xf>
    <xf numFmtId="4" fontId="15" fillId="0" borderId="83" xfId="0" applyNumberFormat="1" applyFont="1" applyFill="1" applyBorder="1" applyAlignment="1">
      <alignment horizontal="left" vertical="center" wrapText="1"/>
    </xf>
    <xf numFmtId="4" fontId="15" fillId="0" borderId="76" xfId="0" applyNumberFormat="1" applyFont="1" applyFill="1" applyBorder="1" applyAlignment="1">
      <alignment horizontal="left" vertical="center" wrapText="1"/>
    </xf>
    <xf numFmtId="4" fontId="18" fillId="36" borderId="54" xfId="0" applyNumberFormat="1" applyFont="1" applyFill="1" applyBorder="1" applyAlignment="1">
      <alignment vertical="center" wrapText="1"/>
    </xf>
    <xf numFmtId="3" fontId="71" fillId="36" borderId="29" xfId="0" applyNumberFormat="1" applyFont="1" applyFill="1" applyBorder="1" applyAlignment="1">
      <alignment horizontal="right" vertical="center" wrapText="1"/>
    </xf>
    <xf numFmtId="4" fontId="15" fillId="36" borderId="29" xfId="0" applyNumberFormat="1" applyFont="1" applyFill="1" applyBorder="1" applyAlignment="1">
      <alignment horizontal="left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188" fontId="19" fillId="0" borderId="29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10" fontId="15" fillId="43" borderId="0" xfId="60" applyNumberFormat="1" applyFont="1" applyFill="1" applyAlignment="1">
      <alignment vertical="center"/>
    </xf>
    <xf numFmtId="3" fontId="15" fillId="36" borderId="29" xfId="0" applyNumberFormat="1" applyFont="1" applyFill="1" applyBorder="1" applyAlignment="1">
      <alignment horizontal="center" vertical="center" wrapText="1"/>
    </xf>
    <xf numFmtId="4" fontId="18" fillId="36" borderId="24" xfId="0" applyNumberFormat="1" applyFont="1" applyFill="1" applyBorder="1" applyAlignment="1">
      <alignment vertical="center" wrapText="1"/>
    </xf>
    <xf numFmtId="4" fontId="19" fillId="36" borderId="24" xfId="0" applyNumberFormat="1" applyFont="1" applyFill="1" applyBorder="1" applyAlignment="1">
      <alignment horizontal="right" vertical="center" wrapText="1"/>
    </xf>
    <xf numFmtId="4" fontId="15" fillId="36" borderId="24" xfId="0" applyNumberFormat="1" applyFont="1" applyFill="1" applyBorder="1" applyAlignment="1">
      <alignment horizontal="left" vertical="center" wrapText="1"/>
    </xf>
    <xf numFmtId="3" fontId="15" fillId="0" borderId="29" xfId="0" applyNumberFormat="1" applyFont="1" applyFill="1" applyBorder="1" applyAlignment="1">
      <alignment horizontal="center" vertical="center" wrapText="1"/>
    </xf>
    <xf numFmtId="3" fontId="15" fillId="0" borderId="85" xfId="0" applyNumberFormat="1" applyFont="1" applyFill="1" applyBorder="1" applyAlignment="1">
      <alignment horizontal="center" vertical="center" wrapText="1"/>
    </xf>
    <xf numFmtId="4" fontId="18" fillId="0" borderId="85" xfId="0" applyNumberFormat="1" applyFont="1" applyFill="1" applyBorder="1" applyAlignment="1">
      <alignment vertical="center" wrapText="1"/>
    </xf>
    <xf numFmtId="4" fontId="19" fillId="0" borderId="85" xfId="0" applyNumberFormat="1" applyFont="1" applyFill="1" applyBorder="1" applyAlignment="1">
      <alignment horizontal="right" vertical="center" wrapText="1"/>
    </xf>
    <xf numFmtId="4" fontId="15" fillId="0" borderId="85" xfId="0" applyNumberFormat="1" applyFont="1" applyFill="1" applyBorder="1" applyAlignment="1">
      <alignment horizontal="left" vertical="center" wrapText="1"/>
    </xf>
    <xf numFmtId="4" fontId="71" fillId="0" borderId="85" xfId="0" applyNumberFormat="1" applyFont="1" applyFill="1" applyBorder="1" applyAlignment="1">
      <alignment horizontal="right" vertical="center" wrapText="1"/>
    </xf>
    <xf numFmtId="9" fontId="20" fillId="0" borderId="61" xfId="68" applyNumberFormat="1" applyFont="1" applyBorder="1" applyAlignment="1">
      <alignment horizontal="center" vertical="center"/>
      <protection/>
    </xf>
    <xf numFmtId="0" fontId="18" fillId="0" borderId="0" xfId="68" applyFont="1" applyFill="1" applyBorder="1" applyAlignment="1">
      <alignment vertical="center"/>
      <protection/>
    </xf>
    <xf numFmtId="0" fontId="15" fillId="35" borderId="119" xfId="68" applyFont="1" applyFill="1" applyBorder="1" applyAlignment="1">
      <alignment vertical="center"/>
      <protection/>
    </xf>
    <xf numFmtId="9" fontId="75" fillId="0" borderId="120" xfId="68" applyNumberFormat="1" applyFont="1" applyBorder="1" applyAlignment="1">
      <alignment horizontal="center" vertical="center"/>
      <protection/>
    </xf>
    <xf numFmtId="9" fontId="75" fillId="0" borderId="31" xfId="68" applyNumberFormat="1" applyFont="1" applyBorder="1" applyAlignment="1">
      <alignment horizontal="center" vertical="center"/>
      <protection/>
    </xf>
    <xf numFmtId="4" fontId="31" fillId="35" borderId="49" xfId="68" applyNumberFormat="1" applyFont="1" applyFill="1" applyBorder="1" applyAlignment="1">
      <alignment horizontal="center" vertical="center"/>
      <protection/>
    </xf>
    <xf numFmtId="191" fontId="31" fillId="35" borderId="47" xfId="68" applyNumberFormat="1" applyFont="1" applyFill="1" applyBorder="1" applyAlignment="1">
      <alignment horizontal="center" vertical="center"/>
      <protection/>
    </xf>
    <xf numFmtId="187" fontId="31" fillId="35" borderId="47" xfId="68" applyNumberFormat="1" applyFont="1" applyFill="1" applyBorder="1" applyAlignment="1">
      <alignment horizontal="center" vertical="center"/>
      <protection/>
    </xf>
    <xf numFmtId="4" fontId="75" fillId="35" borderId="49" xfId="68" applyNumberFormat="1" applyFont="1" applyFill="1" applyBorder="1" applyAlignment="1">
      <alignment horizontal="center" vertical="center"/>
      <protection/>
    </xf>
    <xf numFmtId="191" fontId="75" fillId="35" borderId="47" xfId="68" applyNumberFormat="1" applyFont="1" applyFill="1" applyBorder="1" applyAlignment="1">
      <alignment horizontal="center" vertical="center"/>
      <protection/>
    </xf>
    <xf numFmtId="0" fontId="95" fillId="36" borderId="31" xfId="71" applyFont="1" applyFill="1" applyBorder="1" applyAlignment="1" quotePrefix="1">
      <alignment horizontal="left" vertical="center" wrapText="1"/>
      <protection/>
    </xf>
    <xf numFmtId="0" fontId="11" fillId="0" borderId="31" xfId="71" applyFont="1" applyFill="1" applyBorder="1" applyAlignment="1">
      <alignment horizontal="left" vertical="center"/>
      <protection/>
    </xf>
    <xf numFmtId="0" fontId="11" fillId="0" borderId="31" xfId="71" applyNumberFormat="1" applyFont="1" applyFill="1" applyBorder="1" applyAlignment="1">
      <alignment horizontal="left" vertical="center"/>
      <protection/>
    </xf>
    <xf numFmtId="0" fontId="36" fillId="37" borderId="71" xfId="68" applyFont="1" applyFill="1" applyBorder="1" applyAlignment="1">
      <alignment horizontal="center" vertical="center"/>
      <protection/>
    </xf>
    <xf numFmtId="0" fontId="21" fillId="0" borderId="121" xfId="68" applyFont="1" applyFill="1" applyBorder="1" applyAlignment="1">
      <alignment vertical="center"/>
      <protection/>
    </xf>
    <xf numFmtId="187" fontId="15" fillId="0" borderId="121" xfId="68" applyNumberFormat="1" applyFont="1" applyFill="1" applyBorder="1" applyAlignment="1">
      <alignment vertical="center"/>
      <protection/>
    </xf>
    <xf numFmtId="187" fontId="15" fillId="0" borderId="121" xfId="68" applyNumberFormat="1" applyFont="1" applyBorder="1" applyAlignment="1">
      <alignment vertical="center"/>
      <protection/>
    </xf>
    <xf numFmtId="4" fontId="75" fillId="36" borderId="50" xfId="68" applyNumberFormat="1" applyFont="1" applyFill="1" applyBorder="1" applyAlignment="1">
      <alignment horizontal="right" vertical="center"/>
      <protection/>
    </xf>
    <xf numFmtId="9" fontId="75" fillId="35" borderId="85" xfId="68" applyNumberFormat="1" applyFont="1" applyFill="1" applyBorder="1" applyAlignment="1">
      <alignment horizontal="center" vertical="center"/>
      <protection/>
    </xf>
    <xf numFmtId="4" fontId="25" fillId="36" borderId="50" xfId="68" applyNumberFormat="1" applyFont="1" applyFill="1" applyBorder="1" applyAlignment="1">
      <alignment horizontal="right" vertical="center"/>
      <protection/>
    </xf>
    <xf numFmtId="0" fontId="4" fillId="35" borderId="85" xfId="71" applyFont="1" applyFill="1" applyBorder="1" applyAlignment="1">
      <alignment horizontal="left" vertical="center"/>
      <protection/>
    </xf>
    <xf numFmtId="4" fontId="25" fillId="36" borderId="122" xfId="68" applyNumberFormat="1" applyFont="1" applyFill="1" applyBorder="1" applyAlignment="1">
      <alignment horizontal="right" vertical="center"/>
      <protection/>
    </xf>
    <xf numFmtId="187" fontId="11" fillId="0" borderId="123" xfId="71" applyNumberFormat="1" applyFont="1" applyBorder="1" applyAlignment="1">
      <alignment horizontal="left" vertical="center" wrapText="1"/>
      <protection/>
    </xf>
    <xf numFmtId="9" fontId="20" fillId="0" borderId="123" xfId="68" applyNumberFormat="1" applyFont="1" applyBorder="1" applyAlignment="1">
      <alignment horizontal="center" vertical="center"/>
      <protection/>
    </xf>
    <xf numFmtId="187" fontId="20" fillId="0" borderId="11" xfId="68" applyNumberFormat="1" applyFont="1" applyBorder="1" applyAlignment="1">
      <alignment horizontal="center" vertical="center"/>
      <protection/>
    </xf>
    <xf numFmtId="187" fontId="20" fillId="36" borderId="124" xfId="68" applyNumberFormat="1" applyFont="1" applyFill="1" applyBorder="1" applyAlignment="1">
      <alignment horizontal="center" vertical="center"/>
      <protection/>
    </xf>
    <xf numFmtId="4" fontId="75" fillId="36" borderId="122" xfId="68" applyNumberFormat="1" applyFont="1" applyFill="1" applyBorder="1" applyAlignment="1">
      <alignment horizontal="right" vertical="center"/>
      <protection/>
    </xf>
    <xf numFmtId="4" fontId="14" fillId="33" borderId="29" xfId="68" applyNumberFormat="1" applyFont="1" applyFill="1" applyBorder="1" applyAlignment="1">
      <alignment vertical="center"/>
      <protection/>
    </xf>
    <xf numFmtId="4" fontId="75" fillId="33" borderId="29" xfId="68" applyNumberFormat="1" applyFont="1" applyFill="1" applyBorder="1" applyAlignment="1">
      <alignment vertical="center"/>
      <protection/>
    </xf>
    <xf numFmtId="4" fontId="75" fillId="0" borderId="31" xfId="68" applyNumberFormat="1" applyFont="1" applyFill="1" applyBorder="1" applyAlignment="1">
      <alignment vertical="center"/>
      <protection/>
    </xf>
    <xf numFmtId="4" fontId="75" fillId="35" borderId="85" xfId="68" applyNumberFormat="1" applyFont="1" applyFill="1" applyBorder="1" applyAlignment="1">
      <alignment vertical="center"/>
      <protection/>
    </xf>
    <xf numFmtId="4" fontId="31" fillId="33" borderId="29" xfId="68" applyNumberFormat="1" applyFont="1" applyFill="1" applyBorder="1" applyAlignment="1">
      <alignment vertical="center"/>
      <protection/>
    </xf>
    <xf numFmtId="4" fontId="31" fillId="0" borderId="81" xfId="68" applyNumberFormat="1" applyFont="1" applyFill="1" applyBorder="1" applyAlignment="1">
      <alignment vertical="center"/>
      <protection/>
    </xf>
    <xf numFmtId="4" fontId="31" fillId="33" borderId="76" xfId="68" applyNumberFormat="1" applyFont="1" applyFill="1" applyBorder="1" applyAlignment="1">
      <alignment vertical="center"/>
      <protection/>
    </xf>
    <xf numFmtId="4" fontId="31" fillId="0" borderId="24" xfId="68" applyNumberFormat="1" applyFont="1" applyFill="1" applyBorder="1" applyAlignment="1">
      <alignment vertical="center"/>
      <protection/>
    </xf>
    <xf numFmtId="187" fontId="14" fillId="0" borderId="0" xfId="68" applyNumberFormat="1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192" fontId="50" fillId="35" borderId="29" xfId="0" applyNumberFormat="1" applyFont="1" applyFill="1" applyBorder="1" applyAlignment="1">
      <alignment horizontal="center" vertical="center"/>
    </xf>
    <xf numFmtId="187" fontId="15" fillId="36" borderId="29" xfId="68" applyNumberFormat="1" applyFont="1" applyFill="1" applyBorder="1" applyAlignment="1">
      <alignment horizontal="center" vertical="center" wrapText="1"/>
      <protection/>
    </xf>
    <xf numFmtId="187" fontId="15" fillId="40" borderId="0" xfId="68" applyNumberFormat="1" applyFont="1" applyFill="1" applyAlignment="1">
      <alignment vertical="center"/>
      <protection/>
    </xf>
    <xf numFmtId="187" fontId="14" fillId="40" borderId="0" xfId="68" applyNumberFormat="1" applyFont="1" applyFill="1" applyAlignment="1">
      <alignment vertical="center"/>
      <protection/>
    </xf>
    <xf numFmtId="0" fontId="15" fillId="40" borderId="0" xfId="68" applyFont="1" applyFill="1" applyAlignment="1">
      <alignment vertical="center"/>
      <protection/>
    </xf>
    <xf numFmtId="10" fontId="75" fillId="35" borderId="85" xfId="68" applyNumberFormat="1" applyFont="1" applyFill="1" applyBorder="1" applyAlignment="1">
      <alignment horizontal="center" vertical="center"/>
      <protection/>
    </xf>
    <xf numFmtId="187" fontId="15" fillId="35" borderId="85" xfId="68" applyNumberFormat="1" applyFont="1" applyFill="1" applyBorder="1" applyAlignment="1">
      <alignment vertical="center"/>
      <protection/>
    </xf>
    <xf numFmtId="4" fontId="14" fillId="33" borderId="24" xfId="68" applyNumberFormat="1" applyFont="1" applyFill="1" applyBorder="1" applyAlignment="1">
      <alignment vertical="center"/>
      <protection/>
    </xf>
    <xf numFmtId="4" fontId="75" fillId="33" borderId="24" xfId="68" applyNumberFormat="1" applyFont="1" applyFill="1" applyBorder="1" applyAlignment="1">
      <alignment vertical="center"/>
      <protection/>
    </xf>
    <xf numFmtId="4" fontId="20" fillId="35" borderId="125" xfId="68" applyNumberFormat="1" applyFont="1" applyFill="1" applyBorder="1" applyAlignment="1">
      <alignment vertical="center"/>
      <protection/>
    </xf>
    <xf numFmtId="0" fontId="4" fillId="46" borderId="85" xfId="71" applyFont="1" applyFill="1" applyBorder="1" applyAlignment="1">
      <alignment horizontal="left" vertical="center"/>
      <protection/>
    </xf>
    <xf numFmtId="9" fontId="75" fillId="46" borderId="85" xfId="68" applyNumberFormat="1" applyFont="1" applyFill="1" applyBorder="1" applyAlignment="1">
      <alignment horizontal="center" vertical="center"/>
      <protection/>
    </xf>
    <xf numFmtId="4" fontId="20" fillId="46" borderId="125" xfId="68" applyNumberFormat="1" applyFont="1" applyFill="1" applyBorder="1" applyAlignment="1">
      <alignment vertical="center"/>
      <protection/>
    </xf>
    <xf numFmtId="4" fontId="75" fillId="46" borderId="85" xfId="68" applyNumberFormat="1" applyFont="1" applyFill="1" applyBorder="1" applyAlignment="1">
      <alignment vertical="center"/>
      <protection/>
    </xf>
    <xf numFmtId="4" fontId="20" fillId="46" borderId="85" xfId="68" applyNumberFormat="1" applyFont="1" applyFill="1" applyBorder="1" applyAlignment="1">
      <alignment vertical="center"/>
      <protection/>
    </xf>
    <xf numFmtId="4" fontId="25" fillId="36" borderId="119" xfId="68" applyNumberFormat="1" applyFont="1" applyFill="1" applyBorder="1" applyAlignment="1">
      <alignment horizontal="right" vertical="center"/>
      <protection/>
    </xf>
    <xf numFmtId="9" fontId="20" fillId="36" borderId="123" xfId="60" applyFont="1" applyFill="1" applyBorder="1" applyAlignment="1">
      <alignment horizontal="center" vertical="center"/>
    </xf>
    <xf numFmtId="187" fontId="16" fillId="47" borderId="126" xfId="68" applyNumberFormat="1" applyFont="1" applyFill="1" applyBorder="1" applyAlignment="1">
      <alignment horizontal="center" vertical="center"/>
      <protection/>
    </xf>
    <xf numFmtId="187" fontId="16" fillId="47" borderId="127" xfId="68" applyNumberFormat="1" applyFont="1" applyFill="1" applyBorder="1" applyAlignment="1">
      <alignment horizontal="center" vertical="center"/>
      <protection/>
    </xf>
    <xf numFmtId="187" fontId="16" fillId="0" borderId="126" xfId="68" applyNumberFormat="1" applyFont="1" applyBorder="1" applyAlignment="1">
      <alignment horizontal="center" vertical="center"/>
      <protection/>
    </xf>
    <xf numFmtId="187" fontId="16" fillId="0" borderId="127" xfId="68" applyNumberFormat="1" applyFont="1" applyBorder="1" applyAlignment="1">
      <alignment horizontal="center" vertical="center"/>
      <protection/>
    </xf>
    <xf numFmtId="0" fontId="30" fillId="48" borderId="128" xfId="68" applyFont="1" applyFill="1" applyBorder="1" applyAlignment="1">
      <alignment horizontal="center" vertical="center"/>
      <protection/>
    </xf>
    <xf numFmtId="0" fontId="30" fillId="37" borderId="128" xfId="68" applyFont="1" applyFill="1" applyBorder="1" applyAlignment="1">
      <alignment horizontal="center" vertical="center"/>
      <protection/>
    </xf>
    <xf numFmtId="0" fontId="30" fillId="48" borderId="129" xfId="68" applyFont="1" applyFill="1" applyBorder="1" applyAlignment="1">
      <alignment horizontal="center" vertical="center"/>
      <protection/>
    </xf>
    <xf numFmtId="187" fontId="15" fillId="0" borderId="85" xfId="68" applyNumberFormat="1" applyFont="1" applyFill="1" applyBorder="1" applyAlignment="1">
      <alignment vertical="center"/>
      <protection/>
    </xf>
    <xf numFmtId="187" fontId="15" fillId="0" borderId="24" xfId="68" applyNumberFormat="1" applyFont="1" applyFill="1" applyBorder="1" applyAlignment="1">
      <alignment vertical="center"/>
      <protection/>
    </xf>
    <xf numFmtId="187" fontId="15" fillId="0" borderId="29" xfId="68" applyNumberFormat="1" applyFont="1" applyFill="1" applyBorder="1" applyAlignment="1">
      <alignment vertical="center"/>
      <protection/>
    </xf>
    <xf numFmtId="187" fontId="15" fillId="46" borderId="85" xfId="68" applyNumberFormat="1" applyFont="1" applyFill="1" applyBorder="1" applyAlignment="1">
      <alignment vertical="center"/>
      <protection/>
    </xf>
    <xf numFmtId="4" fontId="75" fillId="35" borderId="122" xfId="68" applyNumberFormat="1" applyFont="1" applyFill="1" applyBorder="1" applyAlignment="1">
      <alignment horizontal="right" vertical="center"/>
      <protection/>
    </xf>
    <xf numFmtId="187" fontId="94" fillId="0" borderId="29" xfId="68" applyNumberFormat="1" applyFont="1" applyFill="1" applyBorder="1" applyAlignment="1">
      <alignment vertical="center"/>
      <protection/>
    </xf>
    <xf numFmtId="187" fontId="94" fillId="0" borderId="24" xfId="68" applyNumberFormat="1" applyFont="1" applyFill="1" applyBorder="1" applyAlignment="1">
      <alignment vertical="center"/>
      <protection/>
    </xf>
    <xf numFmtId="3" fontId="21" fillId="35" borderId="125" xfId="68" applyNumberFormat="1" applyFont="1" applyFill="1" applyBorder="1" applyAlignment="1">
      <alignment vertical="center"/>
      <protection/>
    </xf>
    <xf numFmtId="187" fontId="21" fillId="35" borderId="85" xfId="68" applyNumberFormat="1" applyFont="1" applyFill="1" applyBorder="1" applyAlignment="1">
      <alignment vertical="center"/>
      <protection/>
    </xf>
    <xf numFmtId="3" fontId="21" fillId="0" borderId="125" xfId="68" applyNumberFormat="1" applyFont="1" applyFill="1" applyBorder="1" applyAlignment="1">
      <alignment vertical="center"/>
      <protection/>
    </xf>
    <xf numFmtId="187" fontId="21" fillId="0" borderId="85" xfId="68" applyNumberFormat="1" applyFont="1" applyFill="1" applyBorder="1" applyAlignment="1">
      <alignment vertical="center"/>
      <protection/>
    </xf>
    <xf numFmtId="4" fontId="25" fillId="46" borderId="122" xfId="68" applyNumberFormat="1" applyFont="1" applyFill="1" applyBorder="1" applyAlignment="1">
      <alignment horizontal="right" vertical="center"/>
      <protection/>
    </xf>
    <xf numFmtId="187" fontId="16" fillId="0" borderId="130" xfId="68" applyNumberFormat="1" applyFont="1" applyBorder="1" applyAlignment="1">
      <alignment horizontal="center" vertical="center"/>
      <protection/>
    </xf>
    <xf numFmtId="0" fontId="8" fillId="35" borderId="85" xfId="71" applyFont="1" applyFill="1" applyBorder="1" applyAlignment="1">
      <alignment horizontal="left" vertical="center"/>
      <protection/>
    </xf>
    <xf numFmtId="4" fontId="23" fillId="36" borderId="122" xfId="68" applyNumberFormat="1" applyFont="1" applyFill="1" applyBorder="1" applyAlignment="1">
      <alignment horizontal="left" vertical="center"/>
      <protection/>
    </xf>
    <xf numFmtId="0" fontId="22" fillId="37" borderId="52" xfId="68" applyFont="1" applyFill="1" applyBorder="1" applyAlignment="1">
      <alignment horizontal="center" vertical="center"/>
      <protection/>
    </xf>
    <xf numFmtId="4" fontId="94" fillId="35" borderId="122" xfId="68" applyNumberFormat="1" applyFont="1" applyFill="1" applyBorder="1" applyAlignment="1">
      <alignment horizontal="left" vertical="center"/>
      <protection/>
    </xf>
    <xf numFmtId="187" fontId="15" fillId="46" borderId="29" xfId="68" applyNumberFormat="1" applyFont="1" applyFill="1" applyBorder="1" applyAlignment="1">
      <alignment horizontal="center" vertical="center" wrapText="1"/>
      <protection/>
    </xf>
    <xf numFmtId="10" fontId="14" fillId="46" borderId="29" xfId="60" applyNumberFormat="1" applyFont="1" applyFill="1" applyBorder="1" applyAlignment="1">
      <alignment horizontal="center" vertical="center"/>
    </xf>
    <xf numFmtId="2" fontId="8" fillId="46" borderId="29" xfId="0" applyNumberFormat="1" applyFont="1" applyFill="1" applyBorder="1" applyAlignment="1">
      <alignment horizontal="center" vertical="center"/>
    </xf>
    <xf numFmtId="185" fontId="8" fillId="46" borderId="29" xfId="0" applyNumberFormat="1" applyFont="1" applyFill="1" applyBorder="1" applyAlignment="1">
      <alignment horizontal="center" vertical="center"/>
    </xf>
    <xf numFmtId="187" fontId="14" fillId="46" borderId="29" xfId="68" applyNumberFormat="1" applyFont="1" applyFill="1" applyBorder="1" applyAlignment="1">
      <alignment horizontal="center" vertical="center"/>
      <protection/>
    </xf>
    <xf numFmtId="187" fontId="15" fillId="40" borderId="0" xfId="68" applyNumberFormat="1" applyFont="1" applyFill="1" applyAlignment="1">
      <alignment horizontal="center" vertical="center"/>
      <protection/>
    </xf>
    <xf numFmtId="0" fontId="15" fillId="0" borderId="81" xfId="68" applyFont="1" applyBorder="1" applyAlignment="1">
      <alignment vertical="center"/>
      <protection/>
    </xf>
    <xf numFmtId="0" fontId="15" fillId="0" borderId="82" xfId="68" applyFont="1" applyBorder="1" applyAlignment="1">
      <alignment vertical="center"/>
      <protection/>
    </xf>
    <xf numFmtId="0" fontId="15" fillId="0" borderId="0" xfId="68" applyFont="1" applyBorder="1" applyAlignment="1">
      <alignment vertical="center"/>
      <protection/>
    </xf>
    <xf numFmtId="191" fontId="31" fillId="36" borderId="0" xfId="68" applyNumberFormat="1" applyFont="1" applyFill="1" applyBorder="1" applyAlignment="1">
      <alignment horizontal="center" vertical="center"/>
      <protection/>
    </xf>
    <xf numFmtId="0" fontId="18" fillId="36" borderId="0" xfId="68" applyFont="1" applyFill="1" applyAlignment="1">
      <alignment vertical="center"/>
      <protection/>
    </xf>
    <xf numFmtId="0" fontId="15" fillId="36" borderId="0" xfId="68" applyFont="1" applyFill="1" applyAlignment="1">
      <alignment vertical="center"/>
      <protection/>
    </xf>
    <xf numFmtId="0" fontId="10" fillId="35" borderId="119" xfId="71" applyFont="1" applyFill="1" applyBorder="1" applyAlignment="1">
      <alignment horizontal="left" vertical="center"/>
      <protection/>
    </xf>
    <xf numFmtId="0" fontId="15" fillId="35" borderId="50" xfId="68" applyFont="1" applyFill="1" applyBorder="1" applyAlignment="1">
      <alignment vertical="center"/>
      <protection/>
    </xf>
    <xf numFmtId="9" fontId="75" fillId="0" borderId="81" xfId="68" applyNumberFormat="1" applyFont="1" applyBorder="1" applyAlignment="1">
      <alignment horizontal="center" vertical="center"/>
      <protection/>
    </xf>
    <xf numFmtId="0" fontId="95" fillId="36" borderId="74" xfId="71" applyFont="1" applyFill="1" applyBorder="1" applyAlignment="1" quotePrefix="1">
      <alignment horizontal="left" vertical="center" wrapText="1"/>
      <protection/>
    </xf>
    <xf numFmtId="0" fontId="11" fillId="0" borderId="82" xfId="71" applyFont="1" applyFill="1" applyBorder="1" applyAlignment="1">
      <alignment horizontal="left" vertical="center"/>
      <protection/>
    </xf>
    <xf numFmtId="0" fontId="10" fillId="35" borderId="131" xfId="71" applyFont="1" applyFill="1" applyBorder="1" applyAlignment="1">
      <alignment horizontal="left" vertical="center"/>
      <protection/>
    </xf>
    <xf numFmtId="9" fontId="75" fillId="0" borderId="0" xfId="68" applyNumberFormat="1" applyFont="1" applyBorder="1" applyAlignment="1">
      <alignment horizontal="center" vertical="center"/>
      <protection/>
    </xf>
    <xf numFmtId="9" fontId="75" fillId="0" borderId="74" xfId="68" applyNumberFormat="1" applyFont="1" applyBorder="1" applyAlignment="1">
      <alignment horizontal="center" vertical="center"/>
      <protection/>
    </xf>
    <xf numFmtId="0" fontId="15" fillId="35" borderId="131" xfId="68" applyFont="1" applyFill="1" applyBorder="1" applyAlignment="1">
      <alignment vertical="center"/>
      <protection/>
    </xf>
    <xf numFmtId="0" fontId="1" fillId="0" borderId="0" xfId="0" applyFont="1" applyAlignment="1">
      <alignment horizontal="right"/>
    </xf>
    <xf numFmtId="0" fontId="11" fillId="0" borderId="82" xfId="71" applyFont="1" applyFill="1" applyBorder="1" applyAlignment="1">
      <alignment horizontal="left" vertical="justify"/>
      <protection/>
    </xf>
    <xf numFmtId="4" fontId="88" fillId="35" borderId="24" xfId="0" applyNumberFormat="1" applyFont="1" applyFill="1" applyBorder="1" applyAlignment="1">
      <alignment vertical="center" wrapText="1"/>
    </xf>
    <xf numFmtId="0" fontId="0" fillId="43" borderId="0" xfId="0" applyFont="1" applyFill="1" applyAlignment="1">
      <alignment/>
    </xf>
    <xf numFmtId="0" fontId="98" fillId="0" borderId="0" xfId="0" applyFont="1" applyAlignment="1">
      <alignment/>
    </xf>
    <xf numFmtId="3" fontId="49" fillId="35" borderId="29" xfId="0" applyNumberFormat="1" applyFont="1" applyFill="1" applyBorder="1" applyAlignment="1">
      <alignment/>
    </xf>
    <xf numFmtId="4" fontId="25" fillId="46" borderId="83" xfId="0" applyNumberFormat="1" applyFont="1" applyFill="1" applyBorder="1" applyAlignment="1">
      <alignment horizontal="right"/>
    </xf>
    <xf numFmtId="191" fontId="50" fillId="33" borderId="29" xfId="0" applyNumberFormat="1" applyFont="1" applyFill="1" applyBorder="1" applyAlignment="1">
      <alignment/>
    </xf>
    <xf numFmtId="0" fontId="98" fillId="33" borderId="0" xfId="0" applyFont="1" applyFill="1" applyAlignment="1">
      <alignment/>
    </xf>
    <xf numFmtId="191" fontId="5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" fontId="99" fillId="33" borderId="29" xfId="0" applyNumberFormat="1" applyFont="1" applyFill="1" applyBorder="1" applyAlignment="1">
      <alignment horizontal="left"/>
    </xf>
    <xf numFmtId="1" fontId="1" fillId="33" borderId="29" xfId="0" applyNumberFormat="1" applyFont="1" applyFill="1" applyBorder="1" applyAlignment="1">
      <alignment horizontal="left"/>
    </xf>
    <xf numFmtId="191" fontId="50" fillId="0" borderId="0" xfId="0" applyNumberFormat="1" applyFont="1" applyAlignment="1">
      <alignment/>
    </xf>
    <xf numFmtId="191" fontId="50" fillId="33" borderId="0" xfId="0" applyNumberFormat="1" applyFont="1" applyFill="1" applyBorder="1" applyAlignment="1">
      <alignment/>
    </xf>
    <xf numFmtId="191" fontId="50" fillId="0" borderId="0" xfId="0" applyNumberFormat="1" applyFont="1" applyBorder="1" applyAlignment="1">
      <alignment/>
    </xf>
    <xf numFmtId="3" fontId="49" fillId="35" borderId="2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98" fillId="0" borderId="19" xfId="0" applyFont="1" applyBorder="1" applyAlignment="1">
      <alignment/>
    </xf>
    <xf numFmtId="1" fontId="0" fillId="33" borderId="0" xfId="0" applyNumberFormat="1" applyFont="1" applyFill="1" applyBorder="1" applyAlignment="1">
      <alignment/>
    </xf>
    <xf numFmtId="3" fontId="75" fillId="35" borderId="29" xfId="0" applyNumberFormat="1" applyFont="1" applyFill="1" applyBorder="1" applyAlignment="1">
      <alignment horizontal="right"/>
    </xf>
    <xf numFmtId="4" fontId="25" fillId="46" borderId="24" xfId="0" applyNumberFormat="1" applyFont="1" applyFill="1" applyBorder="1" applyAlignment="1">
      <alignment horizontal="right"/>
    </xf>
    <xf numFmtId="191" fontId="50" fillId="0" borderId="19" xfId="0" applyNumberFormat="1" applyFont="1" applyBorder="1" applyAlignment="1">
      <alignment/>
    </xf>
    <xf numFmtId="193" fontId="25" fillId="0" borderId="13" xfId="0" applyNumberFormat="1" applyFont="1" applyFill="1" applyBorder="1" applyAlignment="1">
      <alignment horizontal="right" vertical="center" wrapText="1"/>
    </xf>
    <xf numFmtId="193" fontId="25" fillId="0" borderId="11" xfId="0" applyNumberFormat="1" applyFont="1" applyFill="1" applyBorder="1" applyAlignment="1">
      <alignment horizontal="right" vertical="center" wrapText="1"/>
    </xf>
    <xf numFmtId="0" fontId="36" fillId="37" borderId="72" xfId="65" applyFont="1" applyFill="1" applyBorder="1" applyAlignment="1">
      <alignment horizontal="center" vertical="center"/>
      <protection/>
    </xf>
    <xf numFmtId="4" fontId="20" fillId="35" borderId="54" xfId="0" applyNumberFormat="1" applyFont="1" applyFill="1" applyBorder="1" applyAlignment="1">
      <alignment vertical="center" wrapText="1"/>
    </xf>
    <xf numFmtId="183" fontId="75" fillId="36" borderId="29" xfId="57" applyFont="1" applyFill="1" applyBorder="1" applyAlignment="1" applyProtection="1">
      <alignment horizontal="left" vertical="center" wrapText="1"/>
      <protection locked="0"/>
    </xf>
    <xf numFmtId="187" fontId="75" fillId="36" borderId="29" xfId="57" applyNumberFormat="1" applyFont="1" applyFill="1" applyBorder="1" applyAlignment="1" applyProtection="1" quotePrefix="1">
      <alignment horizontal="right" vertical="center"/>
      <protection locked="0"/>
    </xf>
    <xf numFmtId="183" fontId="14" fillId="0" borderId="39" xfId="57" applyFont="1" applyFill="1" applyBorder="1" applyAlignment="1" applyProtection="1" quotePrefix="1">
      <alignment horizontal="left" vertical="center" wrapText="1"/>
      <protection locked="0"/>
    </xf>
    <xf numFmtId="187" fontId="20" fillId="36" borderId="29" xfId="57" applyNumberFormat="1" applyFont="1" applyFill="1" applyBorder="1" applyAlignment="1" applyProtection="1">
      <alignment horizontal="right" vertical="center"/>
      <protection locked="0"/>
    </xf>
    <xf numFmtId="183" fontId="14" fillId="0" borderId="39" xfId="57" applyFont="1" applyFill="1" applyBorder="1" applyAlignment="1" applyProtection="1" quotePrefix="1">
      <alignment vertical="center" wrapText="1"/>
      <protection locked="0"/>
    </xf>
    <xf numFmtId="187" fontId="14" fillId="0" borderId="30" xfId="57" applyNumberFormat="1" applyFont="1" applyFill="1" applyBorder="1" applyAlignment="1" applyProtection="1" quotePrefix="1">
      <alignment horizontal="right" vertical="center"/>
      <protection locked="0"/>
    </xf>
    <xf numFmtId="183" fontId="18" fillId="0" borderId="0" xfId="57" applyFont="1" applyAlignment="1" quotePrefix="1">
      <alignment vertical="center"/>
      <protection/>
    </xf>
    <xf numFmtId="187" fontId="20" fillId="0" borderId="29" xfId="57" applyNumberFormat="1" applyFont="1" applyFill="1" applyBorder="1" applyAlignment="1" applyProtection="1" quotePrefix="1">
      <alignment horizontal="right" vertical="center"/>
      <protection locked="0"/>
    </xf>
    <xf numFmtId="183" fontId="20" fillId="0" borderId="29" xfId="57" applyFont="1" applyFill="1" applyBorder="1" applyAlignment="1" applyProtection="1">
      <alignment horizontal="left" vertical="center" wrapText="1"/>
      <protection locked="0"/>
    </xf>
    <xf numFmtId="187" fontId="14" fillId="0" borderId="24" xfId="57" applyNumberFormat="1" applyFont="1" applyFill="1" applyBorder="1" applyAlignment="1" applyProtection="1" quotePrefix="1">
      <alignment horizontal="right" vertical="center"/>
      <protection locked="0"/>
    </xf>
    <xf numFmtId="183" fontId="75" fillId="36" borderId="24" xfId="57" applyFont="1" applyFill="1" applyBorder="1" applyAlignment="1" applyProtection="1">
      <alignment horizontal="left" vertical="center" wrapText="1"/>
      <protection locked="0"/>
    </xf>
    <xf numFmtId="187" fontId="75" fillId="36" borderId="24" xfId="57" applyNumberFormat="1" applyFont="1" applyFill="1" applyBorder="1" applyAlignment="1" applyProtection="1" quotePrefix="1">
      <alignment horizontal="right" vertical="center"/>
      <protection locked="0"/>
    </xf>
    <xf numFmtId="183" fontId="20" fillId="0" borderId="132" xfId="57" applyFont="1" applyFill="1" applyBorder="1" applyAlignment="1" applyProtection="1" quotePrefix="1">
      <alignment horizontal="left" vertical="center" wrapText="1"/>
      <protection locked="0"/>
    </xf>
    <xf numFmtId="187" fontId="20" fillId="0" borderId="85" xfId="57" applyNumberFormat="1" applyFont="1" applyFill="1" applyBorder="1" applyAlignment="1" applyProtection="1" quotePrefix="1">
      <alignment horizontal="right" vertical="center"/>
      <protection locked="0"/>
    </xf>
    <xf numFmtId="187" fontId="20" fillId="36" borderId="85" xfId="57" applyNumberFormat="1" applyFont="1" applyFill="1" applyBorder="1" applyAlignment="1" applyProtection="1">
      <alignment horizontal="right" vertical="center"/>
      <protection locked="0"/>
    </xf>
    <xf numFmtId="183" fontId="14" fillId="0" borderId="39" xfId="57" applyFont="1" applyFill="1" applyBorder="1" applyAlignment="1" applyProtection="1">
      <alignment vertical="center" wrapText="1"/>
      <protection locked="0"/>
    </xf>
    <xf numFmtId="4" fontId="20" fillId="0" borderId="54" xfId="0" applyNumberFormat="1" applyFont="1" applyFill="1" applyBorder="1" applyAlignment="1">
      <alignment vertical="center" wrapText="1"/>
    </xf>
    <xf numFmtId="0" fontId="102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86" fontId="75" fillId="0" borderId="12" xfId="57" applyNumberFormat="1" applyFont="1" applyFill="1" applyBorder="1" applyAlignment="1" applyProtection="1">
      <alignment horizontal="right" vertical="center"/>
      <protection locked="0"/>
    </xf>
    <xf numFmtId="186" fontId="20" fillId="0" borderId="12" xfId="57" applyNumberFormat="1" applyFont="1" applyFill="1" applyBorder="1" applyAlignment="1" applyProtection="1">
      <alignment horizontal="right" vertical="center"/>
      <protection locked="0"/>
    </xf>
    <xf numFmtId="0" fontId="24" fillId="37" borderId="52" xfId="68" applyFont="1" applyFill="1" applyBorder="1" applyAlignment="1">
      <alignment horizontal="center" vertical="center"/>
      <protection/>
    </xf>
    <xf numFmtId="0" fontId="13" fillId="37" borderId="87" xfId="0" applyFont="1" applyFill="1" applyBorder="1" applyAlignment="1">
      <alignment vertical="center"/>
    </xf>
    <xf numFmtId="10" fontId="53" fillId="41" borderId="34" xfId="0" applyNumberFormat="1" applyFont="1" applyFill="1" applyBorder="1" applyAlignment="1">
      <alignment horizontal="center" vertical="center"/>
    </xf>
    <xf numFmtId="0" fontId="67" fillId="37" borderId="34" xfId="0" applyFont="1" applyFill="1" applyBorder="1" applyAlignment="1">
      <alignment horizontal="center" vertical="center"/>
    </xf>
    <xf numFmtId="4" fontId="88" fillId="33" borderId="29" xfId="0" applyNumberFormat="1" applyFont="1" applyFill="1" applyBorder="1" applyAlignment="1">
      <alignment vertical="center" wrapText="1"/>
    </xf>
    <xf numFmtId="0" fontId="11" fillId="35" borderId="30" xfId="0" applyFont="1" applyFill="1" applyBorder="1" applyAlignment="1" quotePrefix="1">
      <alignment horizontal="center" vertical="center"/>
    </xf>
    <xf numFmtId="0" fontId="11" fillId="35" borderId="29" xfId="0" applyFont="1" applyFill="1" applyBorder="1" applyAlignment="1" quotePrefix="1">
      <alignment horizontal="center" vertical="center"/>
    </xf>
    <xf numFmtId="0" fontId="39" fillId="35" borderId="29" xfId="0" applyFont="1" applyFill="1" applyBorder="1" applyAlignment="1" quotePrefix="1">
      <alignment horizontal="center" vertical="center"/>
    </xf>
    <xf numFmtId="4" fontId="88" fillId="33" borderId="30" xfId="0" applyNumberFormat="1" applyFont="1" applyFill="1" applyBorder="1" applyAlignment="1">
      <alignment vertical="center" wrapText="1"/>
    </xf>
    <xf numFmtId="4" fontId="88" fillId="33" borderId="0" xfId="0" applyNumberFormat="1" applyFont="1" applyFill="1" applyBorder="1" applyAlignment="1">
      <alignment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4" fontId="88" fillId="0" borderId="29" xfId="0" applyNumberFormat="1" applyFont="1" applyFill="1" applyBorder="1" applyAlignment="1">
      <alignment vertical="center" wrapText="1"/>
    </xf>
    <xf numFmtId="4" fontId="61" fillId="0" borderId="29" xfId="0" applyNumberFormat="1" applyFont="1" applyFill="1" applyBorder="1" applyAlignment="1">
      <alignment vertical="center" wrapText="1"/>
    </xf>
    <xf numFmtId="10" fontId="4" fillId="0" borderId="29" xfId="0" applyNumberFormat="1" applyFont="1" applyFill="1" applyBorder="1" applyAlignment="1">
      <alignment horizontal="right" vertical="center" wrapText="1"/>
    </xf>
    <xf numFmtId="14" fontId="8" fillId="0" borderId="29" xfId="0" applyNumberFormat="1" applyFont="1" applyFill="1" applyBorder="1" applyAlignment="1">
      <alignment horizontal="center" vertical="center" wrapText="1"/>
    </xf>
    <xf numFmtId="14" fontId="61" fillId="40" borderId="29" xfId="0" applyNumberFormat="1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 wrapText="1"/>
    </xf>
    <xf numFmtId="0" fontId="88" fillId="35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4" fontId="9" fillId="0" borderId="29" xfId="0" applyNumberFormat="1" applyFont="1" applyFill="1" applyBorder="1" applyAlignment="1">
      <alignment vertical="center" wrapText="1"/>
    </xf>
    <xf numFmtId="0" fontId="9" fillId="35" borderId="31" xfId="0" applyFont="1" applyFill="1" applyBorder="1" applyAlignment="1">
      <alignment horizontal="center" vertical="center"/>
    </xf>
    <xf numFmtId="0" fontId="4" fillId="0" borderId="119" xfId="0" applyFont="1" applyBorder="1" applyAlignment="1">
      <alignment vertical="center"/>
    </xf>
    <xf numFmtId="1" fontId="9" fillId="0" borderId="49" xfId="0" applyNumberFormat="1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vertical="center" wrapText="1"/>
    </xf>
    <xf numFmtId="4" fontId="61" fillId="0" borderId="49" xfId="0" applyNumberFormat="1" applyFont="1" applyFill="1" applyBorder="1" applyAlignment="1">
      <alignment vertical="center" wrapText="1"/>
    </xf>
    <xf numFmtId="10" fontId="4" fillId="0" borderId="49" xfId="0" applyNumberFormat="1" applyFont="1" applyFill="1" applyBorder="1" applyAlignment="1">
      <alignment horizontal="right" vertical="center" wrapText="1"/>
    </xf>
    <xf numFmtId="4" fontId="88" fillId="0" borderId="49" xfId="0" applyNumberFormat="1" applyFont="1" applyFill="1" applyBorder="1" applyAlignment="1">
      <alignment vertical="center" wrapText="1"/>
    </xf>
    <xf numFmtId="14" fontId="8" fillId="0" borderId="49" xfId="0" applyNumberFormat="1" applyFont="1" applyFill="1" applyBorder="1" applyAlignment="1">
      <alignment horizontal="center" vertical="center" wrapText="1"/>
    </xf>
    <xf numFmtId="4" fontId="53" fillId="41" borderId="24" xfId="0" applyNumberFormat="1" applyFont="1" applyFill="1" applyBorder="1" applyAlignment="1">
      <alignment horizontal="center" vertical="center"/>
    </xf>
    <xf numFmtId="1" fontId="9" fillId="46" borderId="31" xfId="0" applyNumberFormat="1" applyFont="1" applyFill="1" applyBorder="1" applyAlignment="1">
      <alignment horizontal="center" vertical="center" wrapText="1"/>
    </xf>
    <xf numFmtId="1" fontId="9" fillId="46" borderId="24" xfId="0" applyNumberFormat="1" applyFont="1" applyFill="1" applyBorder="1" applyAlignment="1">
      <alignment horizontal="center" vertical="center" wrapText="1"/>
    </xf>
    <xf numFmtId="4" fontId="9" fillId="46" borderId="24" xfId="0" applyNumberFormat="1" applyFont="1" applyFill="1" applyBorder="1" applyAlignment="1">
      <alignment vertical="center" wrapText="1"/>
    </xf>
    <xf numFmtId="4" fontId="61" fillId="46" borderId="24" xfId="0" applyNumberFormat="1" applyFont="1" applyFill="1" applyBorder="1" applyAlignment="1">
      <alignment vertical="center" wrapText="1"/>
    </xf>
    <xf numFmtId="10" fontId="4" fillId="46" borderId="24" xfId="0" applyNumberFormat="1" applyFont="1" applyFill="1" applyBorder="1" applyAlignment="1">
      <alignment horizontal="right" vertical="center" wrapText="1"/>
    </xf>
    <xf numFmtId="4" fontId="88" fillId="46" borderId="24" xfId="0" applyNumberFormat="1" applyFont="1" applyFill="1" applyBorder="1" applyAlignment="1">
      <alignment vertical="center" wrapText="1"/>
    </xf>
    <xf numFmtId="14" fontId="8" fillId="46" borderId="24" xfId="0" applyNumberFormat="1" applyFont="1" applyFill="1" applyBorder="1" applyAlignment="1">
      <alignment horizontal="center" vertical="center" wrapText="1"/>
    </xf>
    <xf numFmtId="14" fontId="61" fillId="35" borderId="29" xfId="0" applyNumberFormat="1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1" fontId="9" fillId="46" borderId="29" xfId="0" applyNumberFormat="1" applyFont="1" applyFill="1" applyBorder="1" applyAlignment="1">
      <alignment horizontal="center" vertical="center" wrapText="1"/>
    </xf>
    <xf numFmtId="4" fontId="9" fillId="46" borderId="29" xfId="0" applyNumberFormat="1" applyFont="1" applyFill="1" applyBorder="1" applyAlignment="1">
      <alignment vertical="center" wrapText="1"/>
    </xf>
    <xf numFmtId="4" fontId="61" fillId="46" borderId="29" xfId="0" applyNumberFormat="1" applyFont="1" applyFill="1" applyBorder="1" applyAlignment="1">
      <alignment vertical="center" wrapText="1"/>
    </xf>
    <xf numFmtId="10" fontId="4" fillId="46" borderId="29" xfId="0" applyNumberFormat="1" applyFont="1" applyFill="1" applyBorder="1" applyAlignment="1">
      <alignment horizontal="right" vertical="center" wrapText="1"/>
    </xf>
    <xf numFmtId="4" fontId="88" fillId="46" borderId="29" xfId="0" applyNumberFormat="1" applyFont="1" applyFill="1" applyBorder="1" applyAlignment="1">
      <alignment vertical="center" wrapText="1"/>
    </xf>
    <xf numFmtId="14" fontId="8" fillId="46" borderId="29" xfId="0" applyNumberFormat="1" applyFont="1" applyFill="1" applyBorder="1" applyAlignment="1">
      <alignment horizontal="center" vertical="center" wrapText="1"/>
    </xf>
    <xf numFmtId="0" fontId="88" fillId="36" borderId="31" xfId="0" applyFont="1" applyFill="1" applyBorder="1" applyAlignment="1">
      <alignment horizontal="center" vertical="center"/>
    </xf>
    <xf numFmtId="0" fontId="4" fillId="46" borderId="31" xfId="0" applyFont="1" applyFill="1" applyBorder="1" applyAlignment="1">
      <alignment vertical="center"/>
    </xf>
    <xf numFmtId="0" fontId="9" fillId="36" borderId="31" xfId="0" applyFont="1" applyFill="1" applyBorder="1" applyAlignment="1">
      <alignment horizontal="center" vertical="center"/>
    </xf>
    <xf numFmtId="0" fontId="4" fillId="46" borderId="119" xfId="0" applyFont="1" applyFill="1" applyBorder="1" applyAlignment="1">
      <alignment vertical="center"/>
    </xf>
    <xf numFmtId="1" fontId="9" fillId="46" borderId="49" xfId="0" applyNumberFormat="1" applyFont="1" applyFill="1" applyBorder="1" applyAlignment="1">
      <alignment horizontal="center" vertical="center" wrapText="1"/>
    </xf>
    <xf numFmtId="4" fontId="9" fillId="46" borderId="49" xfId="0" applyNumberFormat="1" applyFont="1" applyFill="1" applyBorder="1" applyAlignment="1">
      <alignment vertical="center" wrapText="1"/>
    </xf>
    <xf numFmtId="4" fontId="61" fillId="46" borderId="49" xfId="0" applyNumberFormat="1" applyFont="1" applyFill="1" applyBorder="1" applyAlignment="1">
      <alignment vertical="center" wrapText="1"/>
    </xf>
    <xf numFmtId="10" fontId="4" fillId="46" borderId="49" xfId="0" applyNumberFormat="1" applyFont="1" applyFill="1" applyBorder="1" applyAlignment="1">
      <alignment horizontal="right" vertical="center" wrapText="1"/>
    </xf>
    <xf numFmtId="4" fontId="88" fillId="46" borderId="49" xfId="0" applyNumberFormat="1" applyFont="1" applyFill="1" applyBorder="1" applyAlignment="1">
      <alignment vertical="center" wrapText="1"/>
    </xf>
    <xf numFmtId="14" fontId="8" fillId="46" borderId="49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vertical="center" wrapText="1"/>
    </xf>
    <xf numFmtId="4" fontId="61" fillId="0" borderId="24" xfId="0" applyNumberFormat="1" applyFont="1" applyFill="1" applyBorder="1" applyAlignment="1">
      <alignment vertical="center" wrapText="1"/>
    </xf>
    <xf numFmtId="10" fontId="4" fillId="0" borderId="24" xfId="0" applyNumberFormat="1" applyFont="1" applyFill="1" applyBorder="1" applyAlignment="1">
      <alignment horizontal="right" vertical="center" wrapText="1"/>
    </xf>
    <xf numFmtId="4" fontId="88" fillId="0" borderId="24" xfId="0" applyNumberFormat="1" applyFont="1" applyFill="1" applyBorder="1" applyAlignment="1">
      <alignment vertical="center" wrapText="1"/>
    </xf>
    <xf numFmtId="14" fontId="8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4" fontId="88" fillId="0" borderId="0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4" fontId="61" fillId="43" borderId="0" xfId="0" applyNumberFormat="1" applyFont="1" applyFill="1" applyBorder="1" applyAlignment="1">
      <alignment horizontal="center" vertical="center"/>
    </xf>
    <xf numFmtId="4" fontId="88" fillId="0" borderId="0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1" fontId="9" fillId="0" borderId="117" xfId="0" applyNumberFormat="1" applyFont="1" applyFill="1" applyBorder="1" applyAlignment="1">
      <alignment horizontal="center" vertical="center" wrapText="1"/>
    </xf>
    <xf numFmtId="4" fontId="9" fillId="0" borderId="117" xfId="0" applyNumberFormat="1" applyFont="1" applyFill="1" applyBorder="1" applyAlignment="1">
      <alignment vertical="center" wrapText="1"/>
    </xf>
    <xf numFmtId="4" fontId="61" fillId="0" borderId="117" xfId="0" applyNumberFormat="1" applyFont="1" applyFill="1" applyBorder="1" applyAlignment="1">
      <alignment vertical="center" wrapText="1"/>
    </xf>
    <xf numFmtId="10" fontId="4" fillId="0" borderId="83" xfId="0" applyNumberFormat="1" applyFont="1" applyFill="1" applyBorder="1" applyAlignment="1">
      <alignment horizontal="right" vertical="center" wrapText="1"/>
    </xf>
    <xf numFmtId="4" fontId="88" fillId="35" borderId="29" xfId="0" applyNumberFormat="1" applyFont="1" applyFill="1" applyBorder="1" applyAlignment="1">
      <alignment vertical="center" wrapText="1"/>
    </xf>
    <xf numFmtId="183" fontId="104" fillId="43" borderId="0" xfId="57" applyFont="1" applyFill="1" applyBorder="1" applyAlignment="1">
      <alignment vertical="center"/>
      <protection/>
    </xf>
    <xf numFmtId="183" fontId="104" fillId="0" borderId="0" xfId="57" applyFont="1" applyBorder="1" applyAlignment="1">
      <alignment vertical="center"/>
      <protection/>
    </xf>
    <xf numFmtId="194" fontId="104" fillId="0" borderId="0" xfId="0" applyNumberFormat="1" applyFont="1" applyFill="1" applyBorder="1" applyAlignment="1" quotePrefix="1">
      <alignment horizontal="right" vertical="center"/>
    </xf>
    <xf numFmtId="0" fontId="76" fillId="37" borderId="34" xfId="57" applyNumberFormat="1" applyFont="1" applyFill="1" applyBorder="1" applyAlignment="1" applyProtection="1">
      <alignment horizontal="center" vertical="justify"/>
      <protection locked="0"/>
    </xf>
    <xf numFmtId="195" fontId="75" fillId="43" borderId="0" xfId="60" applyNumberFormat="1" applyFont="1" applyFill="1" applyBorder="1" applyAlignment="1">
      <alignment horizontal="center" vertical="justify"/>
    </xf>
    <xf numFmtId="183" fontId="15" fillId="0" borderId="0" xfId="57" applyFont="1" applyBorder="1" applyAlignment="1">
      <alignment vertical="justify"/>
      <protection/>
    </xf>
    <xf numFmtId="0" fontId="14" fillId="0" borderId="0" xfId="0" applyFont="1" applyFill="1" applyBorder="1" applyAlignment="1" quotePrefix="1">
      <alignment horizontal="right" vertical="justify"/>
    </xf>
    <xf numFmtId="183" fontId="27" fillId="0" borderId="29" xfId="57" applyFont="1" applyFill="1" applyBorder="1" applyAlignment="1" applyProtection="1" quotePrefix="1">
      <alignment horizontal="center" vertical="center"/>
      <protection locked="0"/>
    </xf>
    <xf numFmtId="183" fontId="105" fillId="0" borderId="29" xfId="57" applyFont="1" applyFill="1" applyBorder="1" applyAlignment="1" applyProtection="1">
      <alignment horizontal="left" vertical="center"/>
      <protection locked="0"/>
    </xf>
    <xf numFmtId="183" fontId="106" fillId="35" borderId="29" xfId="57" applyFont="1" applyFill="1" applyBorder="1" applyAlignment="1">
      <alignment horizontal="center" vertical="center"/>
      <protection/>
    </xf>
    <xf numFmtId="186" fontId="105" fillId="0" borderId="29" xfId="57" applyNumberFormat="1" applyFont="1" applyFill="1" applyBorder="1" applyAlignment="1" applyProtection="1">
      <alignment horizontal="right" vertical="center"/>
      <protection locked="0"/>
    </xf>
    <xf numFmtId="186" fontId="34" fillId="0" borderId="29" xfId="57" applyNumberFormat="1" applyFont="1" applyFill="1" applyBorder="1" applyAlignment="1" applyProtection="1">
      <alignment horizontal="right" vertical="center"/>
      <protection locked="0"/>
    </xf>
    <xf numFmtId="195" fontId="75" fillId="43" borderId="0" xfId="60" applyNumberFormat="1" applyFont="1" applyFill="1" applyBorder="1" applyAlignment="1">
      <alignment horizontal="center" vertical="center"/>
    </xf>
    <xf numFmtId="37" fontId="105" fillId="0" borderId="29" xfId="57" applyNumberFormat="1" applyFont="1" applyFill="1" applyBorder="1" applyAlignment="1" applyProtection="1">
      <alignment horizontal="left" vertical="center"/>
      <protection locked="0"/>
    </xf>
    <xf numFmtId="183" fontId="27" fillId="36" borderId="29" xfId="57" applyFont="1" applyFill="1" applyBorder="1" applyAlignment="1" applyProtection="1" quotePrefix="1">
      <alignment horizontal="center" vertical="center"/>
      <protection locked="0"/>
    </xf>
    <xf numFmtId="37" fontId="34" fillId="36" borderId="29" xfId="57" applyNumberFormat="1" applyFont="1" applyFill="1" applyBorder="1" applyAlignment="1" applyProtection="1" quotePrefix="1">
      <alignment horizontal="left" vertical="center"/>
      <protection locked="0"/>
    </xf>
    <xf numFmtId="186" fontId="86" fillId="36" borderId="29" xfId="57" applyNumberFormat="1" applyFont="1" applyFill="1" applyBorder="1" applyAlignment="1" applyProtection="1">
      <alignment horizontal="right" vertical="center"/>
      <protection locked="0"/>
    </xf>
    <xf numFmtId="186" fontId="86" fillId="35" borderId="29" xfId="57" applyNumberFormat="1" applyFont="1" applyFill="1" applyBorder="1" applyAlignment="1" applyProtection="1">
      <alignment horizontal="right" vertical="center"/>
      <protection locked="0"/>
    </xf>
    <xf numFmtId="183" fontId="34" fillId="36" borderId="29" xfId="57" applyFont="1" applyFill="1" applyBorder="1" applyAlignment="1" applyProtection="1">
      <alignment horizontal="left" vertical="center"/>
      <protection locked="0"/>
    </xf>
    <xf numFmtId="9" fontId="17" fillId="35" borderId="29" xfId="60" applyFont="1" applyFill="1" applyBorder="1" applyAlignment="1">
      <alignment horizontal="center" vertical="center"/>
    </xf>
    <xf numFmtId="186" fontId="17" fillId="0" borderId="29" xfId="57" applyNumberFormat="1" applyFont="1" applyFill="1" applyBorder="1" applyAlignment="1" applyProtection="1">
      <alignment horizontal="right" vertical="center"/>
      <protection locked="0"/>
    </xf>
    <xf numFmtId="183" fontId="34" fillId="36" borderId="29" xfId="57" applyFont="1" applyFill="1" applyBorder="1" applyAlignment="1" applyProtection="1" quotePrefix="1">
      <alignment horizontal="left" vertical="center"/>
      <protection locked="0"/>
    </xf>
    <xf numFmtId="9" fontId="29" fillId="0" borderId="0" xfId="60" applyFont="1" applyFill="1" applyAlignment="1">
      <alignment horizontal="left" vertical="center"/>
    </xf>
    <xf numFmtId="10" fontId="17" fillId="0" borderId="0" xfId="60" applyNumberFormat="1" applyFont="1" applyFill="1" applyAlignment="1">
      <alignment horizontal="left" vertical="center"/>
    </xf>
    <xf numFmtId="189" fontId="18" fillId="0" borderId="0" xfId="57" applyNumberFormat="1" applyFont="1" applyFill="1" applyAlignment="1">
      <alignment horizontal="right" vertical="center"/>
      <protection/>
    </xf>
    <xf numFmtId="4" fontId="9" fillId="33" borderId="85" xfId="0" applyNumberFormat="1" applyFont="1" applyFill="1" applyBorder="1" applyAlignment="1">
      <alignment vertical="center"/>
    </xf>
    <xf numFmtId="0" fontId="10" fillId="40" borderId="0" xfId="0" applyFont="1" applyFill="1" applyAlignment="1" quotePrefix="1">
      <alignment vertical="center"/>
    </xf>
    <xf numFmtId="0" fontId="0" fillId="40" borderId="0" xfId="0" applyFill="1" applyAlignment="1">
      <alignment vertical="center"/>
    </xf>
    <xf numFmtId="0" fontId="4" fillId="40" borderId="0" xfId="0" applyFont="1" applyFill="1" applyAlignment="1">
      <alignment vertical="center"/>
    </xf>
    <xf numFmtId="4" fontId="10" fillId="40" borderId="29" xfId="0" applyNumberFormat="1" applyFont="1" applyFill="1" applyBorder="1" applyAlignment="1">
      <alignment vertical="center"/>
    </xf>
    <xf numFmtId="4" fontId="97" fillId="40" borderId="0" xfId="0" applyNumberFormat="1" applyFont="1" applyFill="1" applyAlignment="1">
      <alignment vertical="center"/>
    </xf>
    <xf numFmtId="14" fontId="97" fillId="40" borderId="29" xfId="0" applyNumberFormat="1" applyFont="1" applyFill="1" applyBorder="1" applyAlignment="1">
      <alignment vertical="center"/>
    </xf>
    <xf numFmtId="4" fontId="53" fillId="49" borderId="24" xfId="0" applyNumberFormat="1" applyFont="1" applyFill="1" applyBorder="1" applyAlignment="1">
      <alignment horizontal="center" vertical="center"/>
    </xf>
    <xf numFmtId="0" fontId="36" fillId="37" borderId="71" xfId="57" applyNumberFormat="1" applyFont="1" applyFill="1" applyBorder="1" applyAlignment="1" applyProtection="1">
      <alignment horizontal="center" vertical="center"/>
      <protection locked="0"/>
    </xf>
    <xf numFmtId="183" fontId="27" fillId="0" borderId="89" xfId="57" applyFont="1" applyFill="1" applyBorder="1" applyAlignment="1" applyProtection="1" quotePrefix="1">
      <alignment horizontal="left" vertical="center"/>
      <protection locked="0"/>
    </xf>
    <xf numFmtId="183" fontId="27" fillId="0" borderId="78" xfId="57" applyFont="1" applyFill="1" applyBorder="1" applyAlignment="1">
      <alignment horizontal="left" vertical="center"/>
      <protection/>
    </xf>
    <xf numFmtId="183" fontId="27" fillId="0" borderId="20" xfId="57" applyFont="1" applyFill="1" applyBorder="1" applyAlignment="1">
      <alignment horizontal="left" vertical="center"/>
      <protection/>
    </xf>
    <xf numFmtId="183" fontId="27" fillId="0" borderId="21" xfId="57" applyFont="1" applyFill="1" applyBorder="1" applyAlignment="1" applyProtection="1" quotePrefix="1">
      <alignment horizontal="left" vertical="center"/>
      <protection locked="0"/>
    </xf>
    <xf numFmtId="183" fontId="27" fillId="0" borderId="23" xfId="57" applyFont="1" applyFill="1" applyBorder="1" applyAlignment="1">
      <alignment horizontal="left" vertical="center"/>
      <protection/>
    </xf>
    <xf numFmtId="37" fontId="25" fillId="44" borderId="133" xfId="57" applyNumberFormat="1" applyFont="1" applyFill="1" applyBorder="1" applyAlignment="1" applyProtection="1" quotePrefix="1">
      <alignment horizontal="left" vertical="center"/>
      <protection locked="0"/>
    </xf>
    <xf numFmtId="183" fontId="27" fillId="44" borderId="109" xfId="57" applyFont="1" applyFill="1" applyBorder="1" applyAlignment="1">
      <alignment horizontal="left" vertical="center"/>
      <protection/>
    </xf>
    <xf numFmtId="10" fontId="31" fillId="0" borderId="20" xfId="57" applyNumberFormat="1" applyFont="1" applyFill="1" applyBorder="1" applyAlignment="1">
      <alignment horizontal="right" vertical="center"/>
      <protection/>
    </xf>
    <xf numFmtId="10" fontId="31" fillId="0" borderId="20" xfId="60" applyNumberFormat="1" applyFont="1" applyFill="1" applyBorder="1" applyAlignment="1">
      <alignment horizontal="right" vertical="center"/>
    </xf>
    <xf numFmtId="0" fontId="14" fillId="0" borderId="89" xfId="0" applyFont="1" applyBorder="1" applyAlignment="1" quotePrefix="1">
      <alignment horizontal="left" vertical="center"/>
    </xf>
    <xf numFmtId="183" fontId="25" fillId="0" borderId="89" xfId="57" applyFont="1" applyFill="1" applyBorder="1" applyAlignment="1" applyProtection="1" quotePrefix="1">
      <alignment horizontal="left" vertical="center"/>
      <protection locked="0"/>
    </xf>
    <xf numFmtId="37" fontId="27" fillId="0" borderId="89" xfId="57" applyNumberFormat="1" applyFont="1" applyFill="1" applyBorder="1" applyAlignment="1" applyProtection="1" quotePrefix="1">
      <alignment horizontal="left" vertical="center"/>
      <protection locked="0"/>
    </xf>
    <xf numFmtId="9" fontId="31" fillId="0" borderId="20" xfId="0" applyNumberFormat="1" applyFont="1" applyBorder="1" applyAlignment="1">
      <alignment vertical="center"/>
    </xf>
    <xf numFmtId="37" fontId="25" fillId="0" borderId="89" xfId="57" applyNumberFormat="1" applyFont="1" applyFill="1" applyBorder="1" applyAlignment="1" applyProtection="1" quotePrefix="1">
      <alignment horizontal="left" vertical="center"/>
      <protection locked="0"/>
    </xf>
    <xf numFmtId="0" fontId="20" fillId="35" borderId="134" xfId="65" applyFont="1" applyFill="1" applyBorder="1" applyAlignment="1">
      <alignment horizontal="left" vertical="center"/>
      <protection/>
    </xf>
    <xf numFmtId="3" fontId="107" fillId="35" borderId="0" xfId="57" applyNumberFormat="1" applyFont="1" applyFill="1" applyBorder="1" applyAlignment="1" applyProtection="1">
      <alignment horizontal="left" vertical="center"/>
      <protection locked="0"/>
    </xf>
    <xf numFmtId="3" fontId="27" fillId="50" borderId="29" xfId="57" applyNumberFormat="1" applyFont="1" applyFill="1" applyBorder="1" applyAlignment="1" applyProtection="1">
      <alignment horizontal="right" vertical="center"/>
      <protection locked="0"/>
    </xf>
    <xf numFmtId="186" fontId="20" fillId="50" borderId="83" xfId="57" applyNumberFormat="1" applyFont="1" applyFill="1" applyBorder="1" applyAlignment="1">
      <alignment horizontal="center" vertical="center"/>
      <protection/>
    </xf>
    <xf numFmtId="186" fontId="20" fillId="50" borderId="29" xfId="57" applyNumberFormat="1" applyFont="1" applyFill="1" applyBorder="1" applyAlignment="1">
      <alignment horizontal="center" vertical="center"/>
      <protection/>
    </xf>
    <xf numFmtId="196" fontId="15" fillId="0" borderId="0" xfId="57" applyNumberFormat="1" applyFont="1" applyFill="1" applyAlignment="1">
      <alignment vertical="center"/>
      <protection/>
    </xf>
    <xf numFmtId="0" fontId="20" fillId="0" borderId="0" xfId="70" applyFont="1" applyAlignment="1">
      <alignment vertical="center"/>
      <protection/>
    </xf>
    <xf numFmtId="0" fontId="36" fillId="37" borderId="35" xfId="57" applyNumberFormat="1" applyFont="1" applyFill="1" applyBorder="1" applyAlignment="1" applyProtection="1">
      <alignment horizontal="center" vertical="justify"/>
      <protection locked="0"/>
    </xf>
    <xf numFmtId="1" fontId="1" fillId="43" borderId="0" xfId="0" applyNumberFormat="1" applyFont="1" applyFill="1" applyAlignment="1">
      <alignment horizontal="center"/>
    </xf>
    <xf numFmtId="189" fontId="15" fillId="35" borderId="0" xfId="57" applyNumberFormat="1" applyFont="1" applyFill="1" applyAlignment="1">
      <alignment vertical="center"/>
      <protection/>
    </xf>
    <xf numFmtId="3" fontId="27" fillId="36" borderId="29" xfId="57" applyNumberFormat="1" applyFont="1" applyFill="1" applyBorder="1" applyAlignment="1" applyProtection="1">
      <alignment horizontal="right" vertical="center"/>
      <protection locked="0"/>
    </xf>
    <xf numFmtId="183" fontId="21" fillId="35" borderId="0" xfId="57" applyFont="1" applyFill="1" applyAlignment="1">
      <alignment horizontal="right" vertical="center"/>
      <protection/>
    </xf>
    <xf numFmtId="1" fontId="9" fillId="33" borderId="24" xfId="0" applyNumberFormat="1" applyFont="1" applyFill="1" applyBorder="1" applyAlignment="1">
      <alignment horizontal="center" vertical="center" wrapText="1"/>
    </xf>
    <xf numFmtId="4" fontId="9" fillId="33" borderId="24" xfId="0" applyNumberFormat="1" applyFont="1" applyFill="1" applyBorder="1" applyAlignment="1">
      <alignment horizontal="center" vertical="center" wrapText="1"/>
    </xf>
    <xf numFmtId="4" fontId="9" fillId="36" borderId="29" xfId="0" applyNumberFormat="1" applyFont="1" applyFill="1" applyBorder="1" applyAlignment="1">
      <alignment horizontal="center" vertical="center" wrapText="1"/>
    </xf>
    <xf numFmtId="197" fontId="0" fillId="33" borderId="0" xfId="80" applyFont="1" applyFill="1" applyAlignment="1">
      <alignment/>
    </xf>
    <xf numFmtId="197" fontId="9" fillId="33" borderId="0" xfId="80" applyFont="1" applyFill="1" applyAlignment="1">
      <alignment/>
    </xf>
    <xf numFmtId="197" fontId="0" fillId="0" borderId="0" xfId="80" applyFont="1" applyAlignment="1">
      <alignment/>
    </xf>
    <xf numFmtId="197" fontId="1" fillId="0" borderId="0" xfId="80" applyFont="1" applyAlignment="1">
      <alignment/>
    </xf>
    <xf numFmtId="3" fontId="31" fillId="0" borderId="29" xfId="0" applyNumberFormat="1" applyFont="1" applyFill="1" applyBorder="1" applyAlignment="1">
      <alignment horizontal="right" vertical="center" wrapText="1"/>
    </xf>
    <xf numFmtId="49" fontId="18" fillId="33" borderId="29" xfId="80" applyNumberFormat="1" applyFont="1" applyFill="1" applyBorder="1" applyAlignment="1">
      <alignment horizontal="left" vertical="center"/>
    </xf>
    <xf numFmtId="197" fontId="9" fillId="0" borderId="29" xfId="80" applyFont="1" applyFill="1" applyBorder="1" applyAlignment="1">
      <alignment/>
    </xf>
    <xf numFmtId="197" fontId="0" fillId="0" borderId="0" xfId="80" applyFont="1" applyAlignment="1">
      <alignment vertical="center" wrapText="1"/>
    </xf>
    <xf numFmtId="197" fontId="24" fillId="37" borderId="29" xfId="80" applyFont="1" applyFill="1" applyBorder="1" applyAlignment="1">
      <alignment horizontal="center" vertical="center" wrapText="1"/>
    </xf>
    <xf numFmtId="197" fontId="36" fillId="37" borderId="62" xfId="80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right" vertical="center" wrapText="1"/>
    </xf>
    <xf numFmtId="197" fontId="20" fillId="35" borderId="117" xfId="80" applyFont="1" applyFill="1" applyBorder="1" applyAlignment="1">
      <alignment vertical="center"/>
    </xf>
    <xf numFmtId="197" fontId="20" fillId="35" borderId="135" xfId="80" applyFont="1" applyFill="1" applyBorder="1" applyAlignment="1">
      <alignment vertical="center"/>
    </xf>
    <xf numFmtId="4" fontId="75" fillId="35" borderId="29" xfId="0" applyNumberFormat="1" applyFont="1" applyFill="1" applyBorder="1" applyAlignment="1">
      <alignment horizontal="right" vertical="center" wrapText="1"/>
    </xf>
    <xf numFmtId="187" fontId="86" fillId="35" borderId="29" xfId="57" applyNumberFormat="1" applyFont="1" applyFill="1" applyBorder="1" applyAlignment="1" applyProtection="1" quotePrefix="1">
      <alignment horizontal="right" vertical="center"/>
      <protection locked="0"/>
    </xf>
    <xf numFmtId="187" fontId="25" fillId="0" borderId="29" xfId="57" applyNumberFormat="1" applyFont="1" applyFill="1" applyBorder="1" applyAlignment="1" applyProtection="1">
      <alignment horizontal="right" vertical="center"/>
      <protection locked="0"/>
    </xf>
    <xf numFmtId="187" fontId="86" fillId="0" borderId="29" xfId="57" applyNumberFormat="1" applyFont="1" applyFill="1" applyBorder="1" applyAlignment="1" applyProtection="1">
      <alignment horizontal="right" vertical="center"/>
      <protection locked="0"/>
    </xf>
    <xf numFmtId="4" fontId="14" fillId="0" borderId="0" xfId="0" applyNumberFormat="1" applyFont="1" applyFill="1" applyBorder="1" applyAlignment="1">
      <alignment vertical="center" wrapText="1"/>
    </xf>
    <xf numFmtId="187" fontId="25" fillId="0" borderId="0" xfId="57" applyNumberFormat="1" applyFont="1" applyFill="1" applyBorder="1" applyAlignment="1" applyProtection="1">
      <alignment horizontal="right" vertical="center"/>
      <protection locked="0"/>
    </xf>
    <xf numFmtId="4" fontId="75" fillId="35" borderId="29" xfId="0" applyNumberFormat="1" applyFont="1" applyFill="1" applyBorder="1" applyAlignment="1">
      <alignment vertical="center" wrapText="1"/>
    </xf>
    <xf numFmtId="187" fontId="75" fillId="35" borderId="29" xfId="57" applyNumberFormat="1" applyFont="1" applyFill="1" applyBorder="1" applyAlignment="1" applyProtection="1">
      <alignment horizontal="right" vertical="center"/>
      <protection locked="0"/>
    </xf>
    <xf numFmtId="4" fontId="75" fillId="0" borderId="0" xfId="0" applyNumberFormat="1" applyFont="1" applyFill="1" applyBorder="1" applyAlignment="1">
      <alignment vertical="center" wrapText="1"/>
    </xf>
    <xf numFmtId="187" fontId="75" fillId="0" borderId="0" xfId="57" applyNumberFormat="1" applyFont="1" applyFill="1" applyBorder="1" applyAlignment="1" applyProtection="1">
      <alignment horizontal="right" vertical="center"/>
      <protection locked="0"/>
    </xf>
    <xf numFmtId="4" fontId="14" fillId="0" borderId="29" xfId="0" applyNumberFormat="1" applyFont="1" applyFill="1" applyBorder="1" applyAlignment="1">
      <alignment vertical="center" wrapText="1"/>
    </xf>
    <xf numFmtId="183" fontId="14" fillId="0" borderId="29" xfId="57" applyFont="1" applyFill="1" applyBorder="1" applyAlignment="1" applyProtection="1" quotePrefix="1">
      <alignment vertical="center" wrapText="1"/>
      <protection locked="0"/>
    </xf>
    <xf numFmtId="187" fontId="14" fillId="0" borderId="29" xfId="57" applyNumberFormat="1" applyFont="1" applyFill="1" applyBorder="1" applyAlignment="1" applyProtection="1" quotePrefix="1">
      <alignment horizontal="right" vertical="center"/>
      <protection locked="0"/>
    </xf>
    <xf numFmtId="187" fontId="14" fillId="0" borderId="29" xfId="57" applyNumberFormat="1" applyFont="1" applyFill="1" applyBorder="1" applyAlignment="1" applyProtection="1">
      <alignment horizontal="right" vertical="center"/>
      <protection locked="0"/>
    </xf>
    <xf numFmtId="187" fontId="14" fillId="36" borderId="29" xfId="57" applyNumberFormat="1" applyFont="1" applyFill="1" applyBorder="1" applyAlignment="1" applyProtection="1">
      <alignment horizontal="right" vertical="center"/>
      <protection locked="0"/>
    </xf>
    <xf numFmtId="4" fontId="75" fillId="36" borderId="29" xfId="0" applyNumberFormat="1" applyFont="1" applyFill="1" applyBorder="1" applyAlignment="1">
      <alignment vertical="center" wrapText="1"/>
    </xf>
    <xf numFmtId="187" fontId="20" fillId="0" borderId="24" xfId="57" applyNumberFormat="1" applyFont="1" applyFill="1" applyBorder="1" applyAlignment="1" applyProtection="1" quotePrefix="1">
      <alignment horizontal="right" vertical="center"/>
      <protection locked="0"/>
    </xf>
    <xf numFmtId="186" fontId="77" fillId="36" borderId="136" xfId="57" applyNumberFormat="1" applyFont="1" applyFill="1" applyBorder="1" applyAlignment="1" applyProtection="1">
      <alignment horizontal="right" vertical="center"/>
      <protection locked="0"/>
    </xf>
    <xf numFmtId="4" fontId="19" fillId="0" borderId="30" xfId="0" applyNumberFormat="1" applyFont="1" applyFill="1" applyBorder="1" applyAlignment="1">
      <alignment horizontal="right" vertical="center" wrapText="1"/>
    </xf>
    <xf numFmtId="186" fontId="112" fillId="0" borderId="18" xfId="57" applyNumberFormat="1" applyFont="1" applyFill="1" applyBorder="1" applyAlignment="1" applyProtection="1">
      <alignment horizontal="right" vertical="center"/>
      <protection locked="0"/>
    </xf>
    <xf numFmtId="186" fontId="77" fillId="36" borderId="137" xfId="57" applyNumberFormat="1" applyFont="1" applyFill="1" applyBorder="1" applyAlignment="1" applyProtection="1">
      <alignment horizontal="right" vertical="center"/>
      <protection locked="0"/>
    </xf>
    <xf numFmtId="186" fontId="77" fillId="36" borderId="12" xfId="57" applyNumberFormat="1" applyFont="1" applyFill="1" applyBorder="1" applyAlignment="1" applyProtection="1">
      <alignment horizontal="right" vertical="center"/>
      <protection locked="0"/>
    </xf>
    <xf numFmtId="186" fontId="112" fillId="0" borderId="12" xfId="57" applyNumberFormat="1" applyFont="1" applyFill="1" applyBorder="1" applyAlignment="1" applyProtection="1">
      <alignment horizontal="right" vertical="center"/>
      <protection locked="0"/>
    </xf>
    <xf numFmtId="186" fontId="71" fillId="36" borderId="137" xfId="57" applyNumberFormat="1" applyFont="1" applyFill="1" applyBorder="1" applyAlignment="1" applyProtection="1">
      <alignment horizontal="right" vertical="center"/>
      <protection locked="0"/>
    </xf>
    <xf numFmtId="186" fontId="112" fillId="36" borderId="137" xfId="57" applyNumberFormat="1" applyFont="1" applyFill="1" applyBorder="1" applyAlignment="1" applyProtection="1">
      <alignment horizontal="right" vertical="center"/>
      <protection locked="0"/>
    </xf>
    <xf numFmtId="186" fontId="77" fillId="36" borderId="16" xfId="57" applyNumberFormat="1" applyFont="1" applyFill="1" applyBorder="1" applyAlignment="1" applyProtection="1">
      <alignment horizontal="right" vertical="center"/>
      <protection locked="0"/>
    </xf>
    <xf numFmtId="186" fontId="112" fillId="0" borderId="16" xfId="57" applyNumberFormat="1" applyFont="1" applyFill="1" applyBorder="1" applyAlignment="1" applyProtection="1">
      <alignment horizontal="right" vertical="center"/>
      <protection locked="0"/>
    </xf>
    <xf numFmtId="186" fontId="77" fillId="36" borderId="110" xfId="57" applyNumberFormat="1" applyFont="1" applyFill="1" applyBorder="1" applyAlignment="1" applyProtection="1">
      <alignment horizontal="right" vertical="center"/>
      <protection locked="0"/>
    </xf>
    <xf numFmtId="186" fontId="112" fillId="36" borderId="12" xfId="57" applyNumberFormat="1" applyFont="1" applyFill="1" applyBorder="1" applyAlignment="1" applyProtection="1">
      <alignment horizontal="right" vertical="center"/>
      <protection locked="0"/>
    </xf>
    <xf numFmtId="186" fontId="77" fillId="0" borderId="12" xfId="57" applyNumberFormat="1" applyFont="1" applyFill="1" applyBorder="1" applyAlignment="1" applyProtection="1">
      <alignment horizontal="right" vertical="center"/>
      <protection locked="0"/>
    </xf>
    <xf numFmtId="186" fontId="71" fillId="0" borderId="12" xfId="57" applyNumberFormat="1" applyFont="1" applyFill="1" applyBorder="1" applyAlignment="1" applyProtection="1">
      <alignment horizontal="right" vertical="center"/>
      <protection locked="0"/>
    </xf>
    <xf numFmtId="186" fontId="77" fillId="36" borderId="138" xfId="57" applyNumberFormat="1" applyFont="1" applyFill="1" applyBorder="1" applyAlignment="1" applyProtection="1">
      <alignment horizontal="right" vertical="center"/>
      <protection locked="0"/>
    </xf>
    <xf numFmtId="186" fontId="77" fillId="0" borderId="110" xfId="57" applyNumberFormat="1" applyFont="1" applyFill="1" applyBorder="1" applyAlignment="1" applyProtection="1">
      <alignment horizontal="right" vertical="center"/>
      <protection locked="0"/>
    </xf>
    <xf numFmtId="186" fontId="77" fillId="35" borderId="102" xfId="57" applyNumberFormat="1" applyFont="1" applyFill="1" applyBorder="1" applyAlignment="1" applyProtection="1">
      <alignment horizontal="right" vertical="center"/>
      <protection locked="0"/>
    </xf>
    <xf numFmtId="183" fontId="25" fillId="35" borderId="133" xfId="57" applyFont="1" applyFill="1" applyBorder="1" applyAlignment="1" applyProtection="1" quotePrefix="1">
      <alignment horizontal="left" vertical="center"/>
      <protection locked="0"/>
    </xf>
    <xf numFmtId="183" fontId="28" fillId="0" borderId="109" xfId="57" applyFont="1" applyFill="1" applyBorder="1" applyAlignment="1">
      <alignment horizontal="left" vertical="center"/>
      <protection/>
    </xf>
    <xf numFmtId="183" fontId="23" fillId="0" borderId="77" xfId="57" applyFont="1" applyFill="1" applyBorder="1" applyAlignment="1" applyProtection="1">
      <alignment horizontal="left" vertical="center"/>
      <protection locked="0"/>
    </xf>
    <xf numFmtId="186" fontId="86" fillId="50" borderId="29" xfId="57" applyNumberFormat="1" applyFont="1" applyFill="1" applyBorder="1" applyAlignment="1" applyProtection="1">
      <alignment horizontal="right" vertical="center"/>
      <protection locked="0"/>
    </xf>
    <xf numFmtId="183" fontId="25" fillId="35" borderId="0" xfId="57" applyFont="1" applyFill="1" applyBorder="1" applyAlignment="1" applyProtection="1" quotePrefix="1">
      <alignment horizontal="left" vertical="center"/>
      <protection locked="0"/>
    </xf>
    <xf numFmtId="183" fontId="14" fillId="0" borderId="0" xfId="57" applyFont="1" applyFill="1" applyBorder="1" applyAlignment="1">
      <alignment vertical="center"/>
      <protection/>
    </xf>
    <xf numFmtId="183" fontId="42" fillId="40" borderId="0" xfId="57" applyFont="1" applyFill="1" applyAlignment="1">
      <alignment vertical="center"/>
      <protection/>
    </xf>
    <xf numFmtId="186" fontId="29" fillId="0" borderId="29" xfId="57" applyNumberFormat="1" applyFont="1" applyFill="1" applyBorder="1" applyAlignment="1" applyProtection="1">
      <alignment horizontal="right" vertical="center"/>
      <protection locked="0"/>
    </xf>
    <xf numFmtId="186" fontId="42" fillId="0" borderId="29" xfId="57" applyNumberFormat="1" applyFont="1" applyFill="1" applyBorder="1" applyAlignment="1" applyProtection="1">
      <alignment horizontal="right" vertical="center"/>
      <protection locked="0"/>
    </xf>
    <xf numFmtId="198" fontId="86" fillId="0" borderId="49" xfId="57" applyNumberFormat="1" applyFont="1" applyFill="1" applyBorder="1" applyAlignment="1" applyProtection="1">
      <alignment horizontal="center" vertical="center"/>
      <protection locked="0"/>
    </xf>
    <xf numFmtId="188" fontId="42" fillId="0" borderId="29" xfId="57" applyNumberFormat="1" applyFont="1" applyFill="1" applyBorder="1" applyAlignment="1" applyProtection="1">
      <alignment horizontal="center" vertical="center"/>
      <protection locked="0"/>
    </xf>
    <xf numFmtId="10" fontId="42" fillId="0" borderId="29" xfId="60" applyNumberFormat="1" applyFont="1" applyFill="1" applyBorder="1" applyAlignment="1" applyProtection="1">
      <alignment horizontal="center" vertical="center"/>
      <protection locked="0"/>
    </xf>
    <xf numFmtId="186" fontId="86" fillId="0" borderId="139" xfId="57" applyNumberFormat="1" applyFont="1" applyFill="1" applyBorder="1" applyAlignment="1" applyProtection="1">
      <alignment horizontal="right" vertical="center"/>
      <protection locked="0"/>
    </xf>
    <xf numFmtId="10" fontId="86" fillId="0" borderId="85" xfId="60" applyNumberFormat="1" applyFont="1" applyFill="1" applyBorder="1" applyAlignment="1">
      <alignment horizontal="center" vertical="center"/>
    </xf>
    <xf numFmtId="183" fontId="25" fillId="0" borderId="139" xfId="57" applyFont="1" applyFill="1" applyBorder="1" applyAlignment="1" quotePrefix="1">
      <alignment horizontal="center" vertical="center"/>
      <protection/>
    </xf>
    <xf numFmtId="197" fontId="8" fillId="0" borderId="29" xfId="80" applyFont="1" applyBorder="1" applyAlignment="1" quotePrefix="1">
      <alignment vertical="center" wrapText="1"/>
    </xf>
    <xf numFmtId="0" fontId="29" fillId="36" borderId="29" xfId="0" applyFont="1" applyFill="1" applyBorder="1" applyAlignment="1">
      <alignment horizontal="left" vertical="center"/>
    </xf>
    <xf numFmtId="183" fontId="106" fillId="36" borderId="29" xfId="57" applyFont="1" applyFill="1" applyBorder="1" applyAlignment="1">
      <alignment horizontal="center" vertical="center"/>
      <protection/>
    </xf>
    <xf numFmtId="186" fontId="17" fillId="36" borderId="29" xfId="57" applyNumberFormat="1" applyFont="1" applyFill="1" applyBorder="1" applyAlignment="1" applyProtection="1">
      <alignment horizontal="right" vertical="center"/>
      <protection locked="0"/>
    </xf>
    <xf numFmtId="183" fontId="105" fillId="36" borderId="29" xfId="57" applyFont="1" applyFill="1" applyBorder="1" applyAlignment="1" applyProtection="1">
      <alignment horizontal="left" vertical="center"/>
      <protection locked="0"/>
    </xf>
    <xf numFmtId="186" fontId="34" fillId="36" borderId="29" xfId="57" applyNumberFormat="1" applyFont="1" applyFill="1" applyBorder="1" applyAlignment="1" applyProtection="1">
      <alignment horizontal="right" vertical="center"/>
      <protection locked="0"/>
    </xf>
    <xf numFmtId="186" fontId="17" fillId="35" borderId="29" xfId="57" applyNumberFormat="1" applyFont="1" applyFill="1" applyBorder="1" applyAlignment="1" applyProtection="1">
      <alignment horizontal="right" vertical="center"/>
      <protection locked="0"/>
    </xf>
    <xf numFmtId="187" fontId="75" fillId="43" borderId="0" xfId="57" applyNumberFormat="1" applyFont="1" applyFill="1" applyBorder="1" applyAlignment="1" applyProtection="1">
      <alignment horizontal="center" vertical="center"/>
      <protection locked="0"/>
    </xf>
    <xf numFmtId="49" fontId="94" fillId="35" borderId="29" xfId="80" applyNumberFormat="1" applyFont="1" applyFill="1" applyBorder="1" applyAlignment="1">
      <alignment horizontal="left" vertical="center"/>
    </xf>
    <xf numFmtId="49" fontId="110" fillId="0" borderId="0" xfId="80" applyNumberFormat="1" applyFont="1" applyAlignment="1">
      <alignment horizontal="left" vertical="center"/>
    </xf>
    <xf numFmtId="49" fontId="36" fillId="37" borderId="62" xfId="80" applyNumberFormat="1" applyFont="1" applyFill="1" applyBorder="1" applyAlignment="1">
      <alignment vertical="center" wrapText="1"/>
    </xf>
    <xf numFmtId="49" fontId="18" fillId="0" borderId="54" xfId="0" applyNumberFormat="1" applyFont="1" applyFill="1" applyBorder="1" applyAlignment="1">
      <alignment vertical="center" wrapText="1"/>
    </xf>
    <xf numFmtId="49" fontId="8" fillId="0" borderId="29" xfId="80" applyNumberFormat="1" applyFont="1" applyFill="1" applyBorder="1" applyAlignment="1">
      <alignment vertical="center"/>
    </xf>
    <xf numFmtId="49" fontId="18" fillId="0" borderId="29" xfId="80" applyNumberFormat="1" applyFont="1" applyFill="1" applyBorder="1" applyAlignment="1">
      <alignment horizontal="left" vertical="center"/>
    </xf>
    <xf numFmtId="49" fontId="18" fillId="0" borderId="29" xfId="80" applyNumberFormat="1" applyFont="1" applyBorder="1" applyAlignment="1">
      <alignment horizontal="left" vertical="center"/>
    </xf>
    <xf numFmtId="49" fontId="18" fillId="0" borderId="29" xfId="80" applyNumberFormat="1" applyFont="1" applyBorder="1" applyAlignment="1">
      <alignment vertical="center"/>
    </xf>
    <xf numFmtId="49" fontId="94" fillId="35" borderId="140" xfId="80" applyNumberFormat="1" applyFont="1" applyFill="1" applyBorder="1" applyAlignment="1">
      <alignment horizontal="right" vertical="center"/>
    </xf>
    <xf numFmtId="49" fontId="0" fillId="0" borderId="0" xfId="80" applyNumberFormat="1" applyFont="1" applyAlignment="1">
      <alignment vertical="center"/>
    </xf>
    <xf numFmtId="197" fontId="0" fillId="40" borderId="0" xfId="80" applyFont="1" applyFill="1" applyAlignment="1">
      <alignment/>
    </xf>
    <xf numFmtId="9" fontId="113" fillId="40" borderId="29" xfId="60" applyFont="1" applyFill="1" applyBorder="1" applyAlignment="1">
      <alignment horizontal="center" vertical="center" wrapText="1"/>
    </xf>
    <xf numFmtId="49" fontId="18" fillId="46" borderId="54" xfId="0" applyNumberFormat="1" applyFont="1" applyFill="1" applyBorder="1" applyAlignment="1">
      <alignment vertical="center" wrapText="1"/>
    </xf>
    <xf numFmtId="3" fontId="31" fillId="46" borderId="29" xfId="0" applyNumberFormat="1" applyFont="1" applyFill="1" applyBorder="1" applyAlignment="1">
      <alignment horizontal="right" vertical="center" wrapText="1"/>
    </xf>
    <xf numFmtId="49" fontId="111" fillId="35" borderId="29" xfId="80" applyNumberFormat="1" applyFont="1" applyFill="1" applyBorder="1" applyAlignment="1">
      <alignment vertical="center"/>
    </xf>
    <xf numFmtId="49" fontId="94" fillId="35" borderId="29" xfId="80" applyNumberFormat="1" applyFont="1" applyFill="1" applyBorder="1" applyAlignment="1">
      <alignment horizontal="left" vertical="center"/>
    </xf>
    <xf numFmtId="4" fontId="75" fillId="35" borderId="29" xfId="0" applyNumberFormat="1" applyFont="1" applyFill="1" applyBorder="1" applyAlignment="1">
      <alignment horizontal="right" vertical="center" wrapText="1"/>
    </xf>
    <xf numFmtId="49" fontId="94" fillId="35" borderId="29" xfId="80" applyNumberFormat="1" applyFont="1" applyFill="1" applyBorder="1" applyAlignment="1">
      <alignment vertical="center"/>
    </xf>
    <xf numFmtId="4" fontId="20" fillId="35" borderId="29" xfId="0" applyNumberFormat="1" applyFont="1" applyFill="1" applyBorder="1" applyAlignment="1">
      <alignment horizontal="right" vertical="center" wrapText="1"/>
    </xf>
    <xf numFmtId="197" fontId="9" fillId="35" borderId="29" xfId="80" applyFont="1" applyFill="1" applyBorder="1" applyAlignment="1">
      <alignment/>
    </xf>
    <xf numFmtId="3" fontId="31" fillId="35" borderId="29" xfId="0" applyNumberFormat="1" applyFont="1" applyFill="1" applyBorder="1" applyAlignment="1">
      <alignment horizontal="right" vertical="center" wrapText="1"/>
    </xf>
    <xf numFmtId="49" fontId="23" fillId="35" borderId="29" xfId="80" applyNumberFormat="1" applyFont="1" applyFill="1" applyBorder="1" applyAlignment="1">
      <alignment vertical="center"/>
    </xf>
    <xf numFmtId="4" fontId="25" fillId="35" borderId="29" xfId="0" applyNumberFormat="1" applyFont="1" applyFill="1" applyBorder="1" applyAlignment="1">
      <alignment horizontal="right" vertical="center" wrapText="1"/>
    </xf>
    <xf numFmtId="0" fontId="29" fillId="0" borderId="29" xfId="65" applyFont="1" applyFill="1" applyBorder="1" applyAlignment="1">
      <alignment horizontal="left" vertical="center" wrapText="1"/>
      <protection/>
    </xf>
    <xf numFmtId="2" fontId="34" fillId="0" borderId="29" xfId="57" applyNumberFormat="1" applyFont="1" applyFill="1" applyBorder="1" applyAlignment="1" applyProtection="1">
      <alignment horizontal="center" vertical="center"/>
      <protection locked="0"/>
    </xf>
    <xf numFmtId="4" fontId="75" fillId="35" borderId="29" xfId="0" applyNumberFormat="1" applyFont="1" applyFill="1" applyBorder="1" applyAlignment="1">
      <alignment horizontal="center" vertical="center" wrapText="1"/>
    </xf>
    <xf numFmtId="186" fontId="77" fillId="50" borderId="49" xfId="57" applyNumberFormat="1" applyFont="1" applyFill="1" applyBorder="1" applyAlignment="1" applyProtection="1">
      <alignment horizontal="right" vertical="center"/>
      <protection locked="0"/>
    </xf>
    <xf numFmtId="4" fontId="75" fillId="50" borderId="29" xfId="0" applyNumberFormat="1" applyFont="1" applyFill="1" applyBorder="1" applyAlignment="1">
      <alignment horizontal="right" vertical="center" wrapText="1"/>
    </xf>
    <xf numFmtId="188" fontId="86" fillId="0" borderId="29" xfId="57" applyNumberFormat="1" applyFont="1" applyFill="1" applyBorder="1" applyAlignment="1" applyProtection="1">
      <alignment horizontal="center" vertical="center"/>
      <protection locked="0"/>
    </xf>
    <xf numFmtId="186" fontId="86" fillId="0" borderId="24" xfId="57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justify"/>
    </xf>
    <xf numFmtId="9" fontId="31" fillId="0" borderId="0" xfId="60" applyFont="1" applyAlignment="1">
      <alignment vertical="center"/>
    </xf>
    <xf numFmtId="0" fontId="4" fillId="0" borderId="85" xfId="0" applyFont="1" applyBorder="1" applyAlignment="1">
      <alignment/>
    </xf>
    <xf numFmtId="0" fontId="4" fillId="0" borderId="85" xfId="0" applyFont="1" applyBorder="1" applyAlignment="1">
      <alignment horizontal="center"/>
    </xf>
    <xf numFmtId="4" fontId="14" fillId="0" borderId="29" xfId="0" applyNumberFormat="1" applyFont="1" applyFill="1" applyBorder="1" applyAlignment="1">
      <alignment horizontal="left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right" vertical="center" wrapText="1"/>
    </xf>
    <xf numFmtId="3" fontId="25" fillId="0" borderId="29" xfId="0" applyNumberFormat="1" applyFont="1" applyFill="1" applyBorder="1" applyAlignment="1">
      <alignment horizontal="right" vertical="center" wrapText="1"/>
    </xf>
    <xf numFmtId="4" fontId="30" fillId="37" borderId="62" xfId="0" applyNumberFormat="1" applyFont="1" applyFill="1" applyBorder="1" applyAlignment="1">
      <alignment horizontal="center" vertical="center" wrapText="1"/>
    </xf>
    <xf numFmtId="3" fontId="49" fillId="0" borderId="29" xfId="0" applyNumberFormat="1" applyFont="1" applyFill="1" applyBorder="1" applyAlignment="1">
      <alignment/>
    </xf>
    <xf numFmtId="193" fontId="14" fillId="0" borderId="17" xfId="0" applyNumberFormat="1" applyFont="1" applyFill="1" applyBorder="1" applyAlignment="1">
      <alignment horizontal="right" vertical="center" wrapText="1"/>
    </xf>
    <xf numFmtId="193" fontId="14" fillId="0" borderId="18" xfId="0" applyNumberFormat="1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right"/>
    </xf>
    <xf numFmtId="197" fontId="0" fillId="0" borderId="0" xfId="80" applyFont="1" applyBorder="1" applyAlignment="1">
      <alignment/>
    </xf>
    <xf numFmtId="49" fontId="18" fillId="0" borderId="30" xfId="80" applyNumberFormat="1" applyFont="1" applyFill="1" applyBorder="1" applyAlignment="1">
      <alignment horizontal="left" vertical="center"/>
    </xf>
    <xf numFmtId="4" fontId="20" fillId="0" borderId="30" xfId="0" applyNumberFormat="1" applyFont="1" applyFill="1" applyBorder="1" applyAlignment="1">
      <alignment horizontal="right" vertical="center" wrapText="1"/>
    </xf>
    <xf numFmtId="4" fontId="20" fillId="35" borderId="30" xfId="0" applyNumberFormat="1" applyFont="1" applyFill="1" applyBorder="1" applyAlignment="1">
      <alignment horizontal="right" vertical="center" wrapText="1"/>
    </xf>
    <xf numFmtId="9" fontId="108" fillId="0" borderId="0" xfId="60" applyFont="1" applyFill="1" applyAlignment="1">
      <alignment horizontal="left" vertical="center"/>
    </xf>
    <xf numFmtId="0" fontId="14" fillId="40" borderId="0" xfId="0" applyFont="1" applyFill="1" applyBorder="1" applyAlignment="1" quotePrefix="1">
      <alignment horizontal="right" vertical="center"/>
    </xf>
    <xf numFmtId="183" fontId="15" fillId="40" borderId="0" xfId="57" applyFont="1" applyFill="1" applyAlignment="1">
      <alignment vertical="center"/>
      <protection/>
    </xf>
    <xf numFmtId="0" fontId="53" fillId="37" borderId="141" xfId="0" applyFont="1" applyFill="1" applyBorder="1" applyAlignment="1">
      <alignment horizontal="center" vertical="center"/>
    </xf>
    <xf numFmtId="0" fontId="53" fillId="37" borderId="142" xfId="0" applyFont="1" applyFill="1" applyBorder="1" applyAlignment="1">
      <alignment horizontal="center" vertical="center"/>
    </xf>
    <xf numFmtId="0" fontId="53" fillId="37" borderId="64" xfId="0" applyFont="1" applyFill="1" applyBorder="1" applyAlignment="1">
      <alignment horizontal="center" vertical="center"/>
    </xf>
    <xf numFmtId="3" fontId="50" fillId="0" borderId="29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  <xf numFmtId="3" fontId="98" fillId="0" borderId="0" xfId="0" applyNumberFormat="1" applyFont="1" applyFill="1" applyAlignment="1">
      <alignment/>
    </xf>
    <xf numFmtId="3" fontId="50" fillId="0" borderId="54" xfId="0" applyNumberFormat="1" applyFont="1" applyFill="1" applyBorder="1" applyAlignment="1">
      <alignment/>
    </xf>
    <xf numFmtId="0" fontId="98" fillId="0" borderId="0" xfId="0" applyFont="1" applyFill="1" applyAlignment="1">
      <alignment/>
    </xf>
    <xf numFmtId="0" fontId="98" fillId="0" borderId="19" xfId="0" applyFont="1" applyFill="1" applyBorder="1" applyAlignment="1">
      <alignment/>
    </xf>
    <xf numFmtId="3" fontId="50" fillId="0" borderId="24" xfId="0" applyNumberFormat="1" applyFont="1" applyFill="1" applyBorder="1" applyAlignment="1">
      <alignment/>
    </xf>
    <xf numFmtId="14" fontId="100" fillId="0" borderId="29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 quotePrefix="1">
      <alignment horizontal="left" vertical="center"/>
    </xf>
    <xf numFmtId="0" fontId="1" fillId="0" borderId="117" xfId="0" applyFont="1" applyFill="1" applyBorder="1" applyAlignment="1">
      <alignment horizontal="left" vertical="center"/>
    </xf>
    <xf numFmtId="0" fontId="1" fillId="0" borderId="83" xfId="0" applyFont="1" applyFill="1" applyBorder="1" applyAlignment="1">
      <alignment horizontal="left" vertical="center"/>
    </xf>
    <xf numFmtId="4" fontId="91" fillId="35" borderId="29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91" fillId="36" borderId="29" xfId="0" applyNumberFormat="1" applyFont="1" applyFill="1" applyBorder="1" applyAlignment="1">
      <alignment vertical="center"/>
    </xf>
    <xf numFmtId="49" fontId="64" fillId="38" borderId="84" xfId="60" applyNumberFormat="1" applyFont="1" applyFill="1" applyBorder="1" applyAlignment="1">
      <alignment horizontal="center" vertical="center"/>
    </xf>
    <xf numFmtId="0" fontId="9" fillId="50" borderId="29" xfId="72" applyFont="1" applyFill="1" applyBorder="1" applyAlignment="1">
      <alignment vertical="center"/>
      <protection/>
    </xf>
    <xf numFmtId="10" fontId="9" fillId="50" borderId="29" xfId="72" applyNumberFormat="1" applyFont="1" applyFill="1" applyBorder="1" applyAlignment="1">
      <alignment horizontal="center" vertical="center"/>
      <protection/>
    </xf>
    <xf numFmtId="0" fontId="64" fillId="38" borderId="86" xfId="73" applyFont="1" applyFill="1" applyBorder="1" applyAlignment="1">
      <alignment horizontal="left" vertical="center"/>
      <protection/>
    </xf>
    <xf numFmtId="9" fontId="53" fillId="38" borderId="70" xfId="60" applyFont="1" applyFill="1" applyBorder="1" applyAlignment="1">
      <alignment horizontal="center" vertical="center"/>
    </xf>
    <xf numFmtId="0" fontId="1" fillId="0" borderId="29" xfId="75" applyFont="1" applyFill="1" applyBorder="1" applyAlignment="1">
      <alignment vertical="center" wrapText="1"/>
      <protection/>
    </xf>
    <xf numFmtId="0" fontId="118" fillId="40" borderId="29" xfId="67" applyFont="1" applyFill="1" applyBorder="1" applyAlignment="1">
      <alignment horizontal="centerContinuous" vertical="center"/>
      <protection/>
    </xf>
    <xf numFmtId="186" fontId="86" fillId="40" borderId="29" xfId="57" applyNumberFormat="1" applyFont="1" applyFill="1" applyBorder="1" applyAlignment="1" applyProtection="1">
      <alignment horizontal="center" vertical="center"/>
      <protection locked="0"/>
    </xf>
    <xf numFmtId="2" fontId="61" fillId="0" borderId="29" xfId="75" applyNumberFormat="1" applyFont="1" applyFill="1" applyBorder="1" applyAlignment="1">
      <alignment horizontal="center" vertical="center"/>
      <protection/>
    </xf>
    <xf numFmtId="2" fontId="61" fillId="44" borderId="29" xfId="75" applyNumberFormat="1" applyFont="1" applyFill="1" applyBorder="1" applyAlignment="1">
      <alignment horizontal="center" vertical="center"/>
      <protection/>
    </xf>
    <xf numFmtId="4" fontId="86" fillId="40" borderId="29" xfId="57" applyNumberFormat="1" applyFont="1" applyFill="1" applyBorder="1" applyAlignment="1">
      <alignment horizontal="center" vertical="center"/>
      <protection/>
    </xf>
    <xf numFmtId="0" fontId="88" fillId="0" borderId="0" xfId="72" applyFont="1" applyAlignment="1">
      <alignment vertical="center"/>
      <protection/>
    </xf>
    <xf numFmtId="0" fontId="119" fillId="0" borderId="0" xfId="72" applyFont="1" applyAlignment="1">
      <alignment vertical="center"/>
      <protection/>
    </xf>
    <xf numFmtId="0" fontId="64" fillId="38" borderId="143" xfId="73" applyFont="1" applyFill="1" applyBorder="1" applyAlignment="1">
      <alignment horizontal="left" vertical="center"/>
      <protection/>
    </xf>
    <xf numFmtId="9" fontId="53" fillId="38" borderId="70" xfId="60" applyNumberFormat="1" applyFont="1" applyFill="1" applyBorder="1" applyAlignment="1">
      <alignment horizontal="center" vertical="center"/>
    </xf>
    <xf numFmtId="0" fontId="1" fillId="0" borderId="24" xfId="75" applyFont="1" applyFill="1" applyBorder="1" applyAlignment="1">
      <alignment vertical="center" wrapText="1"/>
      <protection/>
    </xf>
    <xf numFmtId="0" fontId="120" fillId="43" borderId="0" xfId="72" applyFont="1" applyFill="1" applyAlignment="1">
      <alignment horizontal="center" vertical="center"/>
      <protection/>
    </xf>
    <xf numFmtId="10" fontId="121" fillId="0" borderId="0" xfId="60" applyNumberFormat="1" applyFont="1" applyFill="1" applyAlignment="1">
      <alignment vertical="center"/>
    </xf>
    <xf numFmtId="0" fontId="121" fillId="0" borderId="0" xfId="72" applyFont="1" applyFill="1" applyAlignment="1">
      <alignment vertical="center"/>
      <protection/>
    </xf>
    <xf numFmtId="0" fontId="9" fillId="50" borderId="29" xfId="72" applyFont="1" applyFill="1" applyBorder="1" applyAlignment="1">
      <alignment horizontal="center" vertical="center"/>
      <protection/>
    </xf>
    <xf numFmtId="38" fontId="122" fillId="40" borderId="29" xfId="57" applyNumberFormat="1" applyFont="1" applyFill="1" applyBorder="1" applyAlignment="1" applyProtection="1">
      <alignment horizontal="centerContinuous" vertical="center"/>
      <protection locked="0"/>
    </xf>
    <xf numFmtId="10" fontId="23" fillId="0" borderId="29" xfId="60" applyNumberFormat="1" applyFont="1" applyFill="1" applyBorder="1" applyAlignment="1" applyProtection="1">
      <alignment horizontal="center" vertical="center"/>
      <protection locked="0"/>
    </xf>
    <xf numFmtId="10" fontId="86" fillId="40" borderId="29" xfId="60" applyNumberFormat="1" applyFont="1" applyFill="1" applyBorder="1" applyAlignment="1" applyProtection="1">
      <alignment horizontal="center" vertical="center"/>
      <protection locked="0"/>
    </xf>
    <xf numFmtId="4" fontId="10" fillId="0" borderId="29" xfId="75" applyNumberFormat="1" applyFont="1" applyFill="1" applyBorder="1" applyAlignment="1">
      <alignment horizontal="center" vertical="center"/>
      <protection/>
    </xf>
    <xf numFmtId="2" fontId="61" fillId="44" borderId="24" xfId="75" applyNumberFormat="1" applyFont="1" applyFill="1" applyBorder="1" applyAlignment="1">
      <alignment horizontal="center" vertical="center"/>
      <protection/>
    </xf>
    <xf numFmtId="0" fontId="4" fillId="0" borderId="0" xfId="72" applyFont="1" applyAlignment="1">
      <alignment vertical="center"/>
      <protection/>
    </xf>
    <xf numFmtId="0" fontId="10" fillId="0" borderId="0" xfId="75" applyFont="1" applyAlignment="1">
      <alignment horizontal="centerContinuous" vertical="center"/>
      <protection/>
    </xf>
    <xf numFmtId="0" fontId="64" fillId="38" borderId="51" xfId="73" applyFont="1" applyFill="1" applyBorder="1" applyAlignment="1">
      <alignment horizontal="center" vertical="center" wrapText="1"/>
      <protection/>
    </xf>
    <xf numFmtId="0" fontId="10" fillId="0" borderId="0" xfId="72" applyFont="1" applyAlignment="1">
      <alignment vertical="center"/>
      <protection/>
    </xf>
    <xf numFmtId="10" fontId="117" fillId="44" borderId="29" xfId="60" applyNumberFormat="1" applyFont="1" applyFill="1" applyBorder="1" applyAlignment="1">
      <alignment horizontal="center" vertical="center"/>
    </xf>
    <xf numFmtId="4" fontId="117" fillId="44" borderId="29" xfId="75" applyNumberFormat="1" applyFont="1" applyFill="1" applyBorder="1" applyAlignment="1">
      <alignment horizontal="center" vertical="center"/>
      <protection/>
    </xf>
    <xf numFmtId="183" fontId="20" fillId="0" borderId="0" xfId="57" applyFont="1" applyAlignment="1">
      <alignment vertical="center"/>
      <protection/>
    </xf>
    <xf numFmtId="183" fontId="14" fillId="40" borderId="0" xfId="57" applyFont="1" applyFill="1" applyAlignment="1">
      <alignment vertical="center"/>
      <protection/>
    </xf>
    <xf numFmtId="4" fontId="59" fillId="43" borderId="0" xfId="0" applyNumberFormat="1" applyFont="1" applyFill="1" applyAlignment="1" quotePrefix="1">
      <alignment vertical="center" wrapText="1"/>
    </xf>
    <xf numFmtId="4" fontId="123" fillId="0" borderId="29" xfId="0" applyNumberFormat="1" applyFont="1" applyFill="1" applyBorder="1" applyAlignment="1">
      <alignment horizontal="right" vertical="center" wrapText="1"/>
    </xf>
    <xf numFmtId="4" fontId="20" fillId="40" borderId="29" xfId="0" applyNumberFormat="1" applyFont="1" applyFill="1" applyBorder="1" applyAlignment="1">
      <alignment horizontal="right" vertical="center" wrapText="1"/>
    </xf>
    <xf numFmtId="3" fontId="31" fillId="40" borderId="29" xfId="0" applyNumberFormat="1" applyFont="1" applyFill="1" applyBorder="1" applyAlignment="1">
      <alignment horizontal="right" vertical="center" wrapText="1"/>
    </xf>
    <xf numFmtId="187" fontId="25" fillId="40" borderId="29" xfId="57" applyNumberFormat="1" applyFont="1" applyFill="1" applyBorder="1" applyAlignment="1" applyProtection="1" quotePrefix="1">
      <alignment horizontal="right" vertical="center"/>
      <protection locked="0"/>
    </xf>
    <xf numFmtId="187" fontId="75" fillId="40" borderId="29" xfId="57" applyNumberFormat="1" applyFont="1" applyFill="1" applyBorder="1" applyAlignment="1" applyProtection="1" quotePrefix="1">
      <alignment horizontal="right" vertical="center"/>
      <protection locked="0"/>
    </xf>
    <xf numFmtId="187" fontId="86" fillId="40" borderId="29" xfId="57" applyNumberFormat="1" applyFont="1" applyFill="1" applyBorder="1" applyAlignment="1" applyProtection="1" quotePrefix="1">
      <alignment horizontal="right" vertical="center"/>
      <protection locked="0"/>
    </xf>
    <xf numFmtId="0" fontId="8" fillId="36" borderId="29" xfId="72" applyFont="1" applyFill="1" applyBorder="1" applyAlignment="1">
      <alignment vertical="center"/>
      <protection/>
    </xf>
    <xf numFmtId="0" fontId="8" fillId="0" borderId="29" xfId="72" applyFont="1" applyFill="1" applyBorder="1" applyAlignment="1">
      <alignment vertical="center"/>
      <protection/>
    </xf>
    <xf numFmtId="2" fontId="88" fillId="36" borderId="29" xfId="72" applyNumberFormat="1" applyFont="1" applyFill="1" applyBorder="1" applyAlignment="1">
      <alignment vertical="center"/>
      <protection/>
    </xf>
    <xf numFmtId="3" fontId="4" fillId="0" borderId="29" xfId="72" applyNumberFormat="1" applyFont="1" applyFill="1" applyBorder="1" applyAlignment="1">
      <alignment vertical="center"/>
      <protection/>
    </xf>
    <xf numFmtId="10" fontId="121" fillId="0" borderId="0" xfId="60" applyNumberFormat="1" applyFont="1" applyFill="1" applyAlignment="1">
      <alignment horizontal="center" vertical="center"/>
    </xf>
    <xf numFmtId="0" fontId="96" fillId="0" borderId="0" xfId="72" applyFont="1" applyAlignment="1">
      <alignment vertical="center"/>
      <protection/>
    </xf>
    <xf numFmtId="0" fontId="111" fillId="0" borderId="0" xfId="72" applyFont="1" applyAlignment="1">
      <alignment horizontal="right" vertical="center"/>
      <protection/>
    </xf>
    <xf numFmtId="9" fontId="88" fillId="50" borderId="29" xfId="60" applyFont="1" applyFill="1" applyBorder="1" applyAlignment="1">
      <alignment horizontal="center" vertical="center"/>
    </xf>
    <xf numFmtId="4" fontId="124" fillId="39" borderId="0" xfId="0" applyNumberFormat="1" applyFont="1" applyFill="1" applyBorder="1" applyAlignment="1">
      <alignment vertical="center" wrapText="1"/>
    </xf>
    <xf numFmtId="4" fontId="123" fillId="39" borderId="131" xfId="0" applyNumberFormat="1" applyFont="1" applyFill="1" applyBorder="1" applyAlignment="1">
      <alignment horizontal="right" vertical="center" wrapText="1"/>
    </xf>
    <xf numFmtId="10" fontId="71" fillId="40" borderId="131" xfId="60" applyNumberFormat="1" applyFont="1" applyFill="1" applyBorder="1" applyAlignment="1">
      <alignment horizontal="center" vertical="center" wrapText="1"/>
    </xf>
    <xf numFmtId="3" fontId="111" fillId="44" borderId="29" xfId="75" applyNumberFormat="1" applyFont="1" applyFill="1" applyBorder="1" applyAlignment="1">
      <alignment horizontal="center" vertical="center"/>
      <protection/>
    </xf>
    <xf numFmtId="3" fontId="111" fillId="0" borderId="29" xfId="75" applyNumberFormat="1" applyFont="1" applyFill="1" applyBorder="1" applyAlignment="1">
      <alignment horizontal="center" vertical="center"/>
      <protection/>
    </xf>
    <xf numFmtId="3" fontId="97" fillId="44" borderId="29" xfId="75" applyNumberFormat="1" applyFont="1" applyFill="1" applyBorder="1" applyAlignment="1">
      <alignment horizontal="center" vertical="center"/>
      <protection/>
    </xf>
    <xf numFmtId="3" fontId="97" fillId="0" borderId="29" xfId="75" applyNumberFormat="1" applyFont="1" applyFill="1" applyBorder="1" applyAlignment="1">
      <alignment horizontal="center" vertical="center"/>
      <protection/>
    </xf>
    <xf numFmtId="3" fontId="97" fillId="0" borderId="29" xfId="75" applyNumberFormat="1" applyFont="1" applyBorder="1" applyAlignment="1">
      <alignment horizontal="center" vertical="center"/>
      <protection/>
    </xf>
    <xf numFmtId="3" fontId="111" fillId="0" borderId="29" xfId="75" applyNumberFormat="1" applyFont="1" applyBorder="1" applyAlignment="1">
      <alignment horizontal="center" vertical="center"/>
      <protection/>
    </xf>
    <xf numFmtId="0" fontId="11" fillId="40" borderId="0" xfId="0" applyFont="1" applyFill="1" applyAlignment="1" quotePrefix="1">
      <alignment/>
    </xf>
    <xf numFmtId="3" fontId="49" fillId="40" borderId="29" xfId="0" applyNumberFormat="1" applyFont="1" applyFill="1" applyBorder="1" applyAlignment="1">
      <alignment/>
    </xf>
    <xf numFmtId="4" fontId="31" fillId="40" borderId="29" xfId="0" applyNumberFormat="1" applyFont="1" applyFill="1" applyBorder="1" applyAlignment="1">
      <alignment horizontal="right"/>
    </xf>
    <xf numFmtId="1" fontId="0" fillId="40" borderId="0" xfId="0" applyNumberFormat="1" applyFont="1" applyFill="1" applyAlignment="1">
      <alignment/>
    </xf>
    <xf numFmtId="4" fontId="75" fillId="40" borderId="29" xfId="0" applyNumberFormat="1" applyFont="1" applyFill="1" applyBorder="1" applyAlignment="1">
      <alignment horizontal="right"/>
    </xf>
    <xf numFmtId="0" fontId="20" fillId="35" borderId="144" xfId="0" applyFont="1" applyFill="1" applyBorder="1" applyAlignment="1">
      <alignment horizontal="right"/>
    </xf>
    <xf numFmtId="1" fontId="21" fillId="36" borderId="54" xfId="0" applyNumberFormat="1" applyFont="1" applyFill="1" applyBorder="1" applyAlignment="1">
      <alignment horizontal="center"/>
    </xf>
    <xf numFmtId="1" fontId="21" fillId="36" borderId="117" xfId="0" applyNumberFormat="1" applyFont="1" applyFill="1" applyBorder="1" applyAlignment="1">
      <alignment horizontal="center"/>
    </xf>
    <xf numFmtId="1" fontId="21" fillId="36" borderId="83" xfId="0" applyNumberFormat="1" applyFont="1" applyFill="1" applyBorder="1" applyAlignment="1">
      <alignment horizontal="center"/>
    </xf>
    <xf numFmtId="1" fontId="21" fillId="36" borderId="30" xfId="0" applyNumberFormat="1" applyFont="1" applyFill="1" applyBorder="1" applyAlignment="1">
      <alignment horizontal="left" vertical="center"/>
    </xf>
    <xf numFmtId="1" fontId="21" fillId="36" borderId="31" xfId="0" applyNumberFormat="1" applyFont="1" applyFill="1" applyBorder="1" applyAlignment="1">
      <alignment horizontal="left" vertical="center"/>
    </xf>
    <xf numFmtId="1" fontId="21" fillId="36" borderId="24" xfId="0" applyNumberFormat="1" applyFont="1" applyFill="1" applyBorder="1" applyAlignment="1">
      <alignment horizontal="left" vertical="center"/>
    </xf>
    <xf numFmtId="1" fontId="16" fillId="36" borderId="30" xfId="0" applyNumberFormat="1" applyFont="1" applyFill="1" applyBorder="1" applyAlignment="1">
      <alignment horizontal="center" vertical="center" wrapText="1"/>
    </xf>
    <xf numFmtId="1" fontId="16" fillId="36" borderId="31" xfId="0" applyNumberFormat="1" applyFont="1" applyFill="1" applyBorder="1" applyAlignment="1">
      <alignment horizontal="center" vertical="center" wrapText="1"/>
    </xf>
    <xf numFmtId="1" fontId="16" fillId="36" borderId="24" xfId="0" applyNumberFormat="1" applyFont="1" applyFill="1" applyBorder="1" applyAlignment="1">
      <alignment horizontal="center" vertical="center" wrapText="1"/>
    </xf>
    <xf numFmtId="1" fontId="32" fillId="36" borderId="30" xfId="0" applyNumberFormat="1" applyFont="1" applyFill="1" applyBorder="1" applyAlignment="1">
      <alignment horizontal="center" vertical="center" wrapText="1"/>
    </xf>
    <xf numFmtId="1" fontId="32" fillId="36" borderId="31" xfId="0" applyNumberFormat="1" applyFont="1" applyFill="1" applyBorder="1" applyAlignment="1">
      <alignment horizontal="center" vertical="center" wrapText="1"/>
    </xf>
    <xf numFmtId="1" fontId="32" fillId="36" borderId="24" xfId="0" applyNumberFormat="1" applyFont="1" applyFill="1" applyBorder="1" applyAlignment="1">
      <alignment horizontal="center" vertical="center" wrapText="1"/>
    </xf>
    <xf numFmtId="1" fontId="101" fillId="0" borderId="0" xfId="0" applyNumberFormat="1" applyFont="1" applyAlignment="1">
      <alignment horizontal="center"/>
    </xf>
    <xf numFmtId="187" fontId="17" fillId="0" borderId="0" xfId="0" applyNumberFormat="1" applyFont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Alignment="1">
      <alignment horizontal="left" vertical="center"/>
    </xf>
    <xf numFmtId="187" fontId="9" fillId="36" borderId="54" xfId="0" applyNumberFormat="1" applyFont="1" applyFill="1" applyBorder="1" applyAlignment="1">
      <alignment horizontal="center" vertical="center"/>
    </xf>
    <xf numFmtId="187" fontId="9" fillId="36" borderId="117" xfId="0" applyNumberFormat="1" applyFont="1" applyFill="1" applyBorder="1" applyAlignment="1">
      <alignment horizontal="center" vertical="center"/>
    </xf>
    <xf numFmtId="187" fontId="9" fillId="36" borderId="83" xfId="0" applyNumberFormat="1" applyFont="1" applyFill="1" applyBorder="1" applyAlignment="1">
      <alignment horizontal="center" vertical="center"/>
    </xf>
    <xf numFmtId="0" fontId="91" fillId="35" borderId="29" xfId="0" applyFont="1" applyFill="1" applyBorder="1" applyAlignment="1">
      <alignment horizontal="right" vertical="center"/>
    </xf>
    <xf numFmtId="0" fontId="91" fillId="36" borderId="29" xfId="0" applyFont="1" applyFill="1" applyBorder="1" applyAlignment="1">
      <alignment horizontal="right" vertical="center"/>
    </xf>
    <xf numFmtId="0" fontId="91" fillId="35" borderId="39" xfId="0" applyFont="1" applyFill="1" applyBorder="1" applyAlignment="1">
      <alignment horizontal="right" vertical="center"/>
    </xf>
    <xf numFmtId="0" fontId="91" fillId="35" borderId="55" xfId="0" applyFont="1" applyFill="1" applyBorder="1" applyAlignment="1">
      <alignment horizontal="right" vertical="center"/>
    </xf>
    <xf numFmtId="0" fontId="91" fillId="35" borderId="76" xfId="0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justify" vertical="center" wrapText="1"/>
    </xf>
    <xf numFmtId="4" fontId="14" fillId="0" borderId="29" xfId="0" applyNumberFormat="1" applyFont="1" applyBorder="1" applyAlignment="1">
      <alignment horizontal="right" vertical="center" wrapText="1"/>
    </xf>
    <xf numFmtId="4" fontId="22" fillId="37" borderId="67" xfId="0" applyNumberFormat="1" applyFont="1" applyFill="1" applyBorder="1" applyAlignment="1">
      <alignment horizontal="center" vertical="center" wrapText="1"/>
    </xf>
    <xf numFmtId="4" fontId="22" fillId="37" borderId="145" xfId="0" applyNumberFormat="1" applyFont="1" applyFill="1" applyBorder="1" applyAlignment="1">
      <alignment horizontal="center" vertical="center" wrapText="1"/>
    </xf>
    <xf numFmtId="4" fontId="22" fillId="37" borderId="34" xfId="0" applyNumberFormat="1" applyFont="1" applyFill="1" applyBorder="1" applyAlignment="1">
      <alignment horizontal="center" vertical="center" wrapText="1"/>
    </xf>
    <xf numFmtId="4" fontId="22" fillId="37" borderId="71" xfId="0" applyNumberFormat="1" applyFont="1" applyFill="1" applyBorder="1" applyAlignment="1">
      <alignment horizontal="center" vertical="center" wrapText="1"/>
    </xf>
    <xf numFmtId="4" fontId="22" fillId="37" borderId="116" xfId="0" applyNumberFormat="1" applyFont="1" applyFill="1" applyBorder="1" applyAlignment="1">
      <alignment horizontal="center" vertical="center" wrapText="1"/>
    </xf>
    <xf numFmtId="4" fontId="22" fillId="37" borderId="112" xfId="0" applyNumberFormat="1" applyFont="1" applyFill="1" applyBorder="1" applyAlignment="1">
      <alignment horizontal="center" vertical="center" wrapText="1"/>
    </xf>
    <xf numFmtId="4" fontId="19" fillId="39" borderId="82" xfId="0" applyNumberFormat="1" applyFont="1" applyFill="1" applyBorder="1" applyAlignment="1">
      <alignment horizontal="center" vertical="center" wrapText="1"/>
    </xf>
    <xf numFmtId="4" fontId="19" fillId="39" borderId="0" xfId="0" applyNumberFormat="1" applyFont="1" applyFill="1" applyAlignment="1">
      <alignment horizontal="center" vertical="center" wrapText="1"/>
    </xf>
    <xf numFmtId="4" fontId="19" fillId="39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0" fontId="13" fillId="37" borderId="146" xfId="69" applyFont="1" applyFill="1" applyBorder="1" applyAlignment="1">
      <alignment horizontal="center" vertical="center"/>
      <protection/>
    </xf>
    <xf numFmtId="0" fontId="13" fillId="37" borderId="147" xfId="69" applyFont="1" applyFill="1" applyBorder="1" applyAlignment="1">
      <alignment horizontal="center" vertical="center"/>
      <protection/>
    </xf>
    <xf numFmtId="0" fontId="13" fillId="37" borderId="143" xfId="69" applyFont="1" applyFill="1" applyBorder="1" applyAlignment="1">
      <alignment horizontal="center" vertical="center"/>
      <protection/>
    </xf>
    <xf numFmtId="0" fontId="13" fillId="37" borderId="65" xfId="69" applyFont="1" applyFill="1" applyBorder="1" applyAlignment="1">
      <alignment horizontal="center" vertical="center"/>
      <protection/>
    </xf>
    <xf numFmtId="0" fontId="11" fillId="0" borderId="0" xfId="69" applyFont="1" applyAlignment="1">
      <alignment horizontal="center"/>
      <protection/>
    </xf>
    <xf numFmtId="0" fontId="9" fillId="0" borderId="55" xfId="69" applyFont="1" applyBorder="1" applyAlignment="1">
      <alignment horizontal="center" vertical="center"/>
      <protection/>
    </xf>
    <xf numFmtId="0" fontId="13" fillId="37" borderId="148" xfId="69" applyFont="1" applyFill="1" applyBorder="1" applyAlignment="1">
      <alignment horizontal="center"/>
      <protection/>
    </xf>
    <xf numFmtId="0" fontId="13" fillId="37" borderId="149" xfId="69" applyFont="1" applyFill="1" applyBorder="1" applyAlignment="1">
      <alignment horizontal="center"/>
      <protection/>
    </xf>
    <xf numFmtId="0" fontId="91" fillId="35" borderId="54" xfId="0" applyFont="1" applyFill="1" applyBorder="1" applyAlignment="1">
      <alignment horizontal="right"/>
    </xf>
    <xf numFmtId="0" fontId="91" fillId="35" borderId="117" xfId="0" applyFont="1" applyFill="1" applyBorder="1" applyAlignment="1">
      <alignment horizontal="right"/>
    </xf>
    <xf numFmtId="0" fontId="91" fillId="35" borderId="83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30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187" fontId="16" fillId="0" borderId="82" xfId="68" applyNumberFormat="1" applyFont="1" applyBorder="1" applyAlignment="1">
      <alignment horizontal="center" vertical="center" wrapText="1"/>
      <protection/>
    </xf>
    <xf numFmtId="187" fontId="16" fillId="0" borderId="81" xfId="68" applyNumberFormat="1" applyFont="1" applyBorder="1" applyAlignment="1">
      <alignment horizontal="center" vertical="center" wrapText="1"/>
      <protection/>
    </xf>
    <xf numFmtId="187" fontId="16" fillId="0" borderId="39" xfId="68" applyNumberFormat="1" applyFont="1" applyBorder="1" applyAlignment="1">
      <alignment horizontal="center" vertical="center" wrapText="1"/>
      <protection/>
    </xf>
    <xf numFmtId="187" fontId="16" fillId="0" borderId="76" xfId="68" applyNumberFormat="1" applyFont="1" applyBorder="1" applyAlignment="1">
      <alignment horizontal="center" vertical="center" wrapText="1"/>
      <protection/>
    </xf>
    <xf numFmtId="187" fontId="9" fillId="0" borderId="150" xfId="71" applyNumberFormat="1" applyFont="1" applyBorder="1" applyAlignment="1">
      <alignment horizontal="center" vertical="center" wrapText="1"/>
      <protection/>
    </xf>
    <xf numFmtId="187" fontId="9" fillId="0" borderId="151" xfId="71" applyNumberFormat="1" applyFont="1" applyBorder="1" applyAlignment="1">
      <alignment horizontal="center" vertical="center" wrapText="1"/>
      <protection/>
    </xf>
    <xf numFmtId="187" fontId="9" fillId="0" borderId="152" xfId="71" applyNumberFormat="1" applyFont="1" applyBorder="1" applyAlignment="1">
      <alignment horizontal="center" vertical="center" wrapText="1"/>
      <protection/>
    </xf>
    <xf numFmtId="0" fontId="18" fillId="0" borderId="0" xfId="68" applyFont="1" applyAlignment="1">
      <alignment horizontal="left" vertical="center" wrapText="1"/>
      <protection/>
    </xf>
    <xf numFmtId="0" fontId="94" fillId="35" borderId="150" xfId="68" applyFont="1" applyFill="1" applyBorder="1" applyAlignment="1">
      <alignment horizontal="left" vertical="center"/>
      <protection/>
    </xf>
    <xf numFmtId="0" fontId="94" fillId="35" borderId="152" xfId="68" applyFont="1" applyFill="1" applyBorder="1" applyAlignment="1">
      <alignment horizontal="left" vertical="center"/>
      <protection/>
    </xf>
    <xf numFmtId="0" fontId="20" fillId="0" borderId="0" xfId="68" applyFont="1" applyAlignment="1">
      <alignment horizontal="center" vertical="center"/>
      <protection/>
    </xf>
    <xf numFmtId="0" fontId="21" fillId="0" borderId="0" xfId="68" applyFont="1" applyAlignment="1">
      <alignment horizontal="center" vertical="center"/>
      <protection/>
    </xf>
    <xf numFmtId="0" fontId="64" fillId="37" borderId="153" xfId="65" applyFont="1" applyFill="1" applyBorder="1" applyAlignment="1" quotePrefix="1">
      <alignment horizontal="center" vertical="center"/>
      <protection/>
    </xf>
    <xf numFmtId="0" fontId="64" fillId="37" borderId="154" xfId="65" applyFont="1" applyFill="1" applyBorder="1" applyAlignment="1" quotePrefix="1">
      <alignment horizontal="center" vertical="center"/>
      <protection/>
    </xf>
    <xf numFmtId="187" fontId="16" fillId="0" borderId="155" xfId="68" applyNumberFormat="1" applyFont="1" applyBorder="1" applyAlignment="1">
      <alignment horizontal="center" vertical="center" wrapText="1"/>
      <protection/>
    </xf>
    <xf numFmtId="187" fontId="16" fillId="0" borderId="156" xfId="68" applyNumberFormat="1" applyFont="1" applyBorder="1" applyAlignment="1">
      <alignment horizontal="center" vertical="center" wrapText="1"/>
      <protection/>
    </xf>
    <xf numFmtId="0" fontId="16" fillId="0" borderId="0" xfId="68" applyFont="1" applyAlignment="1">
      <alignment horizontal="center" vertical="center"/>
      <protection/>
    </xf>
    <xf numFmtId="0" fontId="64" fillId="37" borderId="157" xfId="57" applyNumberFormat="1" applyFont="1" applyFill="1" applyBorder="1" applyAlignment="1" applyProtection="1">
      <alignment horizontal="center" vertical="center" wrapText="1"/>
      <protection locked="0"/>
    </xf>
    <xf numFmtId="0" fontId="64" fillId="37" borderId="158" xfId="57" applyNumberFormat="1" applyFont="1" applyFill="1" applyBorder="1" applyAlignment="1" applyProtection="1">
      <alignment horizontal="center" vertical="center" wrapText="1"/>
      <protection locked="0"/>
    </xf>
    <xf numFmtId="0" fontId="13" fillId="37" borderId="157" xfId="57" applyNumberFormat="1" applyFont="1" applyFill="1" applyBorder="1" applyAlignment="1" applyProtection="1">
      <alignment horizontal="center" vertical="center" wrapText="1"/>
      <protection locked="0"/>
    </xf>
    <xf numFmtId="0" fontId="13" fillId="37" borderId="158" xfId="57" applyNumberFormat="1" applyFont="1" applyFill="1" applyBorder="1" applyAlignment="1" applyProtection="1">
      <alignment horizontal="center" vertical="center" wrapText="1"/>
      <protection locked="0"/>
    </xf>
    <xf numFmtId="0" fontId="94" fillId="35" borderId="131" xfId="68" applyFont="1" applyFill="1" applyBorder="1" applyAlignment="1">
      <alignment horizontal="left" vertical="center"/>
      <protection/>
    </xf>
    <xf numFmtId="187" fontId="9" fillId="0" borderId="155" xfId="71" applyNumberFormat="1" applyFont="1" applyBorder="1" applyAlignment="1">
      <alignment horizontal="center" vertical="center" wrapText="1"/>
      <protection/>
    </xf>
    <xf numFmtId="187" fontId="9" fillId="0" borderId="144" xfId="71" applyNumberFormat="1" applyFont="1" applyBorder="1" applyAlignment="1">
      <alignment horizontal="center" vertical="center" wrapText="1"/>
      <protection/>
    </xf>
    <xf numFmtId="187" fontId="9" fillId="0" borderId="156" xfId="71" applyNumberFormat="1" applyFont="1" applyBorder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/>
      <protection/>
    </xf>
    <xf numFmtId="187" fontId="16" fillId="0" borderId="74" xfId="68" applyNumberFormat="1" applyFont="1" applyBorder="1" applyAlignment="1">
      <alignment horizontal="center" vertical="center" wrapText="1"/>
      <protection/>
    </xf>
    <xf numFmtId="187" fontId="16" fillId="0" borderId="75" xfId="68" applyNumberFormat="1" applyFont="1" applyBorder="1" applyAlignment="1">
      <alignment horizontal="center" vertical="center" wrapText="1"/>
      <protection/>
    </xf>
    <xf numFmtId="0" fontId="21" fillId="0" borderId="0" xfId="68" applyFont="1" applyAlignment="1">
      <alignment horizontal="center" vertical="center" wrapText="1"/>
      <protection/>
    </xf>
    <xf numFmtId="0" fontId="8" fillId="36" borderId="29" xfId="0" applyFont="1" applyFill="1" applyBorder="1" applyAlignment="1" quotePrefix="1">
      <alignment horizontal="left" vertical="center" wrapText="1"/>
    </xf>
    <xf numFmtId="187" fontId="1" fillId="0" borderId="55" xfId="71" applyNumberFormat="1" applyFont="1" applyBorder="1" applyAlignment="1">
      <alignment horizontal="center" vertical="center" wrapText="1"/>
      <protection/>
    </xf>
    <xf numFmtId="187" fontId="1" fillId="0" borderId="159" xfId="71" applyNumberFormat="1" applyFont="1" applyBorder="1" applyAlignment="1">
      <alignment horizontal="center" vertical="center" wrapText="1"/>
      <protection/>
    </xf>
    <xf numFmtId="0" fontId="20" fillId="36" borderId="29" xfId="68" applyFont="1" applyFill="1" applyBorder="1" applyAlignment="1">
      <alignment horizontal="center" vertical="center"/>
      <protection/>
    </xf>
    <xf numFmtId="0" fontId="18" fillId="0" borderId="0" xfId="68" applyFont="1" applyFill="1" applyBorder="1" applyAlignment="1">
      <alignment horizontal="left" vertical="center" wrapText="1"/>
      <protection/>
    </xf>
    <xf numFmtId="0" fontId="8" fillId="0" borderId="39" xfId="71" applyFont="1" applyFill="1" applyBorder="1" applyAlignment="1">
      <alignment horizontal="left" vertical="center"/>
      <protection/>
    </xf>
    <xf numFmtId="0" fontId="8" fillId="0" borderId="76" xfId="71" applyFont="1" applyFill="1" applyBorder="1" applyAlignment="1">
      <alignment horizontal="left" vertical="center"/>
      <protection/>
    </xf>
    <xf numFmtId="0" fontId="23" fillId="36" borderId="131" xfId="68" applyFont="1" applyFill="1" applyBorder="1" applyAlignment="1">
      <alignment horizontal="left" vertical="center"/>
      <protection/>
    </xf>
    <xf numFmtId="0" fontId="23" fillId="36" borderId="19" xfId="68" applyFont="1" applyFill="1" applyBorder="1" applyAlignment="1">
      <alignment horizontal="left" vertical="center"/>
      <protection/>
    </xf>
    <xf numFmtId="0" fontId="94" fillId="36" borderId="131" xfId="68" applyFont="1" applyFill="1" applyBorder="1" applyAlignment="1">
      <alignment horizontal="left" vertical="center"/>
      <protection/>
    </xf>
    <xf numFmtId="0" fontId="94" fillId="36" borderId="19" xfId="68" applyFont="1" applyFill="1" applyBorder="1" applyAlignment="1">
      <alignment horizontal="left" vertical="center"/>
      <protection/>
    </xf>
    <xf numFmtId="0" fontId="53" fillId="37" borderId="157" xfId="57" applyNumberFormat="1" applyFont="1" applyFill="1" applyBorder="1" applyAlignment="1" applyProtection="1">
      <alignment horizontal="center" vertical="center" wrapText="1"/>
      <protection locked="0"/>
    </xf>
    <xf numFmtId="0" fontId="53" fillId="37" borderId="158" xfId="57" applyNumberFormat="1" applyFont="1" applyFill="1" applyBorder="1" applyAlignment="1" applyProtection="1">
      <alignment horizontal="center" vertical="center" wrapText="1"/>
      <protection locked="0"/>
    </xf>
    <xf numFmtId="187" fontId="95" fillId="0" borderId="0" xfId="71" applyNumberFormat="1" applyFont="1" applyBorder="1" applyAlignment="1">
      <alignment horizontal="center" vertical="center" wrapText="1"/>
      <protection/>
    </xf>
    <xf numFmtId="0" fontId="8" fillId="33" borderId="29" xfId="71" applyFont="1" applyFill="1" applyBorder="1" applyAlignment="1">
      <alignment horizontal="left" vertical="center"/>
      <protection/>
    </xf>
    <xf numFmtId="187" fontId="1" fillId="0" borderId="55" xfId="71" applyNumberFormat="1" applyFont="1" applyFill="1" applyBorder="1" applyAlignment="1">
      <alignment horizontal="center" vertical="center" wrapText="1"/>
      <protection/>
    </xf>
    <xf numFmtId="0" fontId="13" fillId="37" borderId="160" xfId="65" applyFont="1" applyFill="1" applyBorder="1" applyAlignment="1" quotePrefix="1">
      <alignment horizontal="center" vertical="center"/>
      <protection/>
    </xf>
    <xf numFmtId="0" fontId="13" fillId="37" borderId="161" xfId="65" applyFont="1" applyFill="1" applyBorder="1" applyAlignment="1" quotePrefix="1">
      <alignment horizontal="center" vertical="center"/>
      <protection/>
    </xf>
    <xf numFmtId="0" fontId="13" fillId="37" borderId="162" xfId="65" applyFont="1" applyFill="1" applyBorder="1" applyAlignment="1" quotePrefix="1">
      <alignment horizontal="center" vertical="center"/>
      <protection/>
    </xf>
    <xf numFmtId="0" fontId="36" fillId="37" borderId="163" xfId="68" applyFont="1" applyFill="1" applyBorder="1" applyAlignment="1">
      <alignment horizontal="center" vertical="center"/>
      <protection/>
    </xf>
    <xf numFmtId="0" fontId="36" fillId="37" borderId="164" xfId="68" applyFont="1" applyFill="1" applyBorder="1" applyAlignment="1">
      <alignment horizontal="center" vertical="center"/>
      <protection/>
    </xf>
    <xf numFmtId="0" fontId="36" fillId="37" borderId="108" xfId="68" applyFont="1" applyFill="1" applyBorder="1" applyAlignment="1">
      <alignment horizontal="center" vertical="center"/>
      <protection/>
    </xf>
    <xf numFmtId="0" fontId="13" fillId="48" borderId="160" xfId="65" applyFont="1" applyFill="1" applyBorder="1" applyAlignment="1" quotePrefix="1">
      <alignment horizontal="center" vertical="center"/>
      <protection/>
    </xf>
    <xf numFmtId="0" fontId="13" fillId="48" borderId="161" xfId="65" applyFont="1" applyFill="1" applyBorder="1" applyAlignment="1" quotePrefix="1">
      <alignment horizontal="center" vertical="center"/>
      <protection/>
    </xf>
    <xf numFmtId="0" fontId="13" fillId="48" borderId="162" xfId="65" applyFont="1" applyFill="1" applyBorder="1" applyAlignment="1" quotePrefix="1">
      <alignment horizontal="center" vertical="center"/>
      <protection/>
    </xf>
    <xf numFmtId="187" fontId="1" fillId="0" borderId="159" xfId="71" applyNumberFormat="1" applyFont="1" applyFill="1" applyBorder="1" applyAlignment="1">
      <alignment horizontal="center" vertical="center" wrapText="1"/>
      <protection/>
    </xf>
    <xf numFmtId="0" fontId="8" fillId="33" borderId="39" xfId="71" applyFont="1" applyFill="1" applyBorder="1" applyAlignment="1">
      <alignment horizontal="left" vertical="center"/>
      <protection/>
    </xf>
    <xf numFmtId="0" fontId="8" fillId="33" borderId="76" xfId="71" applyFont="1" applyFill="1" applyBorder="1" applyAlignment="1">
      <alignment horizontal="left" vertical="center"/>
      <protection/>
    </xf>
    <xf numFmtId="187" fontId="95" fillId="0" borderId="0" xfId="71" applyNumberFormat="1" applyFont="1" applyFill="1" applyBorder="1" applyAlignment="1">
      <alignment horizontal="center" vertical="center" wrapText="1"/>
      <protection/>
    </xf>
    <xf numFmtId="0" fontId="69" fillId="0" borderId="0" xfId="68" applyFont="1" applyAlignment="1">
      <alignment horizontal="center" vertical="center"/>
      <protection/>
    </xf>
    <xf numFmtId="0" fontId="53" fillId="37" borderId="153" xfId="65" applyFont="1" applyFill="1" applyBorder="1" applyAlignment="1" quotePrefix="1">
      <alignment horizontal="center" vertical="center"/>
      <protection/>
    </xf>
    <xf numFmtId="0" fontId="53" fillId="37" borderId="154" xfId="65" applyFont="1" applyFill="1" applyBorder="1" applyAlignment="1" quotePrefix="1">
      <alignment horizontal="center" vertical="center"/>
      <protection/>
    </xf>
    <xf numFmtId="0" fontId="53" fillId="37" borderId="165" xfId="65" applyFont="1" applyFill="1" applyBorder="1" applyAlignment="1" quotePrefix="1">
      <alignment horizontal="center" vertical="center"/>
      <protection/>
    </xf>
    <xf numFmtId="0" fontId="53" fillId="37" borderId="166" xfId="65" applyFont="1" applyFill="1" applyBorder="1" applyAlignment="1" quotePrefix="1">
      <alignment horizontal="center" vertical="center"/>
      <protection/>
    </xf>
    <xf numFmtId="0" fontId="53" fillId="37" borderId="167" xfId="65" applyFont="1" applyFill="1" applyBorder="1" applyAlignment="1" quotePrefix="1">
      <alignment horizontal="center" vertical="center"/>
      <protection/>
    </xf>
    <xf numFmtId="0" fontId="35" fillId="48" borderId="160" xfId="65" applyFont="1" applyFill="1" applyBorder="1" applyAlignment="1" quotePrefix="1">
      <alignment horizontal="center" vertical="center"/>
      <protection/>
    </xf>
    <xf numFmtId="0" fontId="35" fillId="48" borderId="161" xfId="65" applyFont="1" applyFill="1" applyBorder="1" applyAlignment="1" quotePrefix="1">
      <alignment horizontal="center" vertical="center"/>
      <protection/>
    </xf>
    <xf numFmtId="0" fontId="35" fillId="48" borderId="162" xfId="65" applyFont="1" applyFill="1" applyBorder="1" applyAlignment="1" quotePrefix="1">
      <alignment horizontal="center" vertical="center"/>
      <protection/>
    </xf>
    <xf numFmtId="187" fontId="22" fillId="37" borderId="164" xfId="68" applyNumberFormat="1" applyFont="1" applyFill="1" applyBorder="1" applyAlignment="1">
      <alignment horizontal="center" vertical="center"/>
      <protection/>
    </xf>
    <xf numFmtId="187" fontId="22" fillId="37" borderId="108" xfId="68" applyNumberFormat="1" applyFont="1" applyFill="1" applyBorder="1" applyAlignment="1">
      <alignment horizontal="center" vertical="center"/>
      <protection/>
    </xf>
    <xf numFmtId="0" fontId="23" fillId="36" borderId="168" xfId="68" applyFont="1" applyFill="1" applyBorder="1" applyAlignment="1">
      <alignment horizontal="left" vertical="center"/>
      <protection/>
    </xf>
    <xf numFmtId="0" fontId="23" fillId="36" borderId="169" xfId="68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1" fillId="36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145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163" xfId="0" applyFont="1" applyFill="1" applyBorder="1" applyAlignment="1">
      <alignment horizontal="center" vertical="center" wrapText="1"/>
    </xf>
    <xf numFmtId="0" fontId="13" fillId="37" borderId="16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64" fillId="37" borderId="163" xfId="0" applyFont="1" applyFill="1" applyBorder="1" applyAlignment="1">
      <alignment horizontal="center" vertical="center"/>
    </xf>
    <xf numFmtId="0" fontId="64" fillId="37" borderId="164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right" vertical="center"/>
    </xf>
    <xf numFmtId="0" fontId="10" fillId="36" borderId="55" xfId="0" applyFont="1" applyFill="1" applyBorder="1" applyAlignment="1">
      <alignment horizontal="right" vertical="center"/>
    </xf>
    <xf numFmtId="0" fontId="10" fillId="36" borderId="76" xfId="0" applyFont="1" applyFill="1" applyBorder="1" applyAlignment="1">
      <alignment horizontal="right" vertical="center"/>
    </xf>
    <xf numFmtId="0" fontId="10" fillId="36" borderId="54" xfId="0" applyFont="1" applyFill="1" applyBorder="1" applyAlignment="1">
      <alignment horizontal="right" vertical="center"/>
    </xf>
    <xf numFmtId="0" fontId="10" fillId="36" borderId="117" xfId="0" applyFont="1" applyFill="1" applyBorder="1" applyAlignment="1">
      <alignment horizontal="right" vertical="center"/>
    </xf>
    <xf numFmtId="0" fontId="10" fillId="36" borderId="83" xfId="0" applyFont="1" applyFill="1" applyBorder="1" applyAlignment="1">
      <alignment horizontal="right" vertical="center"/>
    </xf>
    <xf numFmtId="0" fontId="10" fillId="36" borderId="54" xfId="0" applyFont="1" applyFill="1" applyBorder="1" applyAlignment="1">
      <alignment horizontal="right" vertical="center" wrapText="1"/>
    </xf>
    <xf numFmtId="0" fontId="10" fillId="36" borderId="117" xfId="0" applyFont="1" applyFill="1" applyBorder="1" applyAlignment="1">
      <alignment horizontal="right" vertical="center" wrapText="1"/>
    </xf>
    <xf numFmtId="0" fontId="10" fillId="36" borderId="83" xfId="0" applyFont="1" applyFill="1" applyBorder="1" applyAlignment="1">
      <alignment horizontal="right" vertical="center" wrapText="1"/>
    </xf>
    <xf numFmtId="0" fontId="10" fillId="36" borderId="74" xfId="0" applyFont="1" applyFill="1" applyBorder="1" applyAlignment="1">
      <alignment horizontal="right" vertical="center"/>
    </xf>
    <xf numFmtId="0" fontId="10" fillId="36" borderId="75" xfId="0" applyFont="1" applyFill="1" applyBorder="1" applyAlignment="1">
      <alignment horizontal="right" vertical="center"/>
    </xf>
    <xf numFmtId="0" fontId="13" fillId="37" borderId="111" xfId="0" applyFont="1" applyFill="1" applyBorder="1" applyAlignment="1">
      <alignment horizontal="center" vertical="center"/>
    </xf>
    <xf numFmtId="0" fontId="13" fillId="37" borderId="170" xfId="0" applyFont="1" applyFill="1" applyBorder="1" applyAlignment="1">
      <alignment horizontal="center" vertical="center"/>
    </xf>
    <xf numFmtId="0" fontId="13" fillId="37" borderId="116" xfId="0" applyFont="1" applyFill="1" applyBorder="1" applyAlignment="1">
      <alignment horizontal="center" vertical="center"/>
    </xf>
    <xf numFmtId="0" fontId="13" fillId="37" borderId="67" xfId="0" applyFont="1" applyFill="1" applyBorder="1" applyAlignment="1">
      <alignment horizontal="center" vertical="center"/>
    </xf>
    <xf numFmtId="0" fontId="13" fillId="37" borderId="112" xfId="0" applyFont="1" applyFill="1" applyBorder="1" applyAlignment="1">
      <alignment horizontal="center" vertical="center"/>
    </xf>
    <xf numFmtId="0" fontId="13" fillId="37" borderId="14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4" fontId="8" fillId="0" borderId="30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Fill="1" applyBorder="1" applyAlignment="1">
      <alignment horizontal="center" vertical="center" wrapText="1"/>
    </xf>
    <xf numFmtId="14" fontId="8" fillId="0" borderId="119" xfId="0" applyNumberFormat="1" applyFont="1" applyFill="1" applyBorder="1" applyAlignment="1">
      <alignment horizontal="center" vertical="center" wrapText="1"/>
    </xf>
    <xf numFmtId="4" fontId="88" fillId="0" borderId="30" xfId="0" applyNumberFormat="1" applyFont="1" applyFill="1" applyBorder="1" applyAlignment="1">
      <alignment horizontal="right" vertical="center" wrapText="1"/>
    </xf>
    <xf numFmtId="4" fontId="88" fillId="0" borderId="31" xfId="0" applyNumberFormat="1" applyFont="1" applyFill="1" applyBorder="1" applyAlignment="1">
      <alignment horizontal="right" vertical="center" wrapText="1"/>
    </xf>
    <xf numFmtId="4" fontId="88" fillId="0" borderId="119" xfId="0" applyNumberFormat="1" applyFont="1" applyFill="1" applyBorder="1" applyAlignment="1">
      <alignment horizontal="right" vertical="center" wrapText="1"/>
    </xf>
    <xf numFmtId="4" fontId="61" fillId="0" borderId="30" xfId="0" applyNumberFormat="1" applyFont="1" applyFill="1" applyBorder="1" applyAlignment="1">
      <alignment horizontal="right" vertical="center" wrapText="1"/>
    </xf>
    <xf numFmtId="4" fontId="61" fillId="0" borderId="31" xfId="0" applyNumberFormat="1" applyFont="1" applyFill="1" applyBorder="1" applyAlignment="1">
      <alignment horizontal="right" vertical="center" wrapText="1"/>
    </xf>
    <xf numFmtId="4" fontId="61" fillId="0" borderId="119" xfId="0" applyNumberFormat="1" applyFont="1" applyFill="1" applyBorder="1" applyAlignment="1">
      <alignment horizontal="right" vertical="center" wrapText="1"/>
    </xf>
    <xf numFmtId="10" fontId="4" fillId="0" borderId="30" xfId="0" applyNumberFormat="1" applyFont="1" applyFill="1" applyBorder="1" applyAlignment="1">
      <alignment horizontal="center" vertical="center" wrapText="1"/>
    </xf>
    <xf numFmtId="10" fontId="4" fillId="0" borderId="31" xfId="0" applyNumberFormat="1" applyFont="1" applyFill="1" applyBorder="1" applyAlignment="1">
      <alignment horizontal="center" vertical="center" wrapText="1"/>
    </xf>
    <xf numFmtId="10" fontId="4" fillId="0" borderId="119" xfId="0" applyNumberFormat="1" applyFont="1" applyFill="1" applyBorder="1" applyAlignment="1">
      <alignment horizontal="center" vertical="center" wrapText="1"/>
    </xf>
    <xf numFmtId="0" fontId="53" fillId="37" borderId="164" xfId="0" applyFont="1" applyFill="1" applyBorder="1" applyAlignment="1">
      <alignment horizontal="center" vertical="center"/>
    </xf>
    <xf numFmtId="0" fontId="53" fillId="37" borderId="53" xfId="0" applyFont="1" applyFill="1" applyBorder="1" applyAlignment="1">
      <alignment horizontal="center" vertical="center"/>
    </xf>
    <xf numFmtId="183" fontId="72" fillId="0" borderId="0" xfId="57" applyFont="1" applyFill="1" applyBorder="1" applyAlignment="1" applyProtection="1">
      <alignment horizontal="center" vertical="center"/>
      <protection locked="0"/>
    </xf>
    <xf numFmtId="183" fontId="24" fillId="37" borderId="86" xfId="57" applyFont="1" applyFill="1" applyBorder="1" applyAlignment="1" applyProtection="1" quotePrefix="1">
      <alignment horizontal="center" vertical="center"/>
      <protection locked="0"/>
    </xf>
    <xf numFmtId="183" fontId="24" fillId="37" borderId="88" xfId="57" applyFont="1" applyFill="1" applyBorder="1" applyAlignment="1" applyProtection="1" quotePrefix="1">
      <alignment horizontal="center" vertical="center"/>
      <protection locked="0"/>
    </xf>
    <xf numFmtId="4" fontId="20" fillId="36" borderId="54" xfId="0" applyNumberFormat="1" applyFont="1" applyFill="1" applyBorder="1" applyAlignment="1">
      <alignment horizontal="center" vertical="center" wrapText="1"/>
    </xf>
    <xf numFmtId="4" fontId="20" fillId="36" borderId="117" xfId="0" applyNumberFormat="1" applyFont="1" applyFill="1" applyBorder="1" applyAlignment="1">
      <alignment horizontal="center" vertical="center" wrapText="1"/>
    </xf>
    <xf numFmtId="183" fontId="116" fillId="0" borderId="0" xfId="57" applyFont="1" applyFill="1" applyBorder="1" applyAlignment="1" applyProtection="1">
      <alignment horizontal="center" vertical="center"/>
      <protection locked="0"/>
    </xf>
    <xf numFmtId="183" fontId="34" fillId="0" borderId="0" xfId="57" applyFont="1" applyFill="1" applyBorder="1" applyAlignment="1" applyProtection="1">
      <alignment horizontal="center" vertical="center"/>
      <protection locked="0"/>
    </xf>
    <xf numFmtId="183" fontId="24" fillId="38" borderId="0" xfId="57" applyFont="1" applyFill="1" applyBorder="1" applyAlignment="1">
      <alignment horizontal="center" vertical="justify"/>
      <protection/>
    </xf>
    <xf numFmtId="183" fontId="76" fillId="38" borderId="0" xfId="57" applyFont="1" applyFill="1" applyBorder="1" applyAlignment="1">
      <alignment horizontal="center" vertical="center"/>
      <protection/>
    </xf>
    <xf numFmtId="0" fontId="69" fillId="0" borderId="0" xfId="0" applyFont="1" applyFill="1" applyBorder="1" applyAlignment="1" quotePrefix="1">
      <alignment horizontal="center" vertical="center"/>
    </xf>
    <xf numFmtId="183" fontId="36" fillId="37" borderId="86" xfId="57" applyFont="1" applyFill="1" applyBorder="1" applyAlignment="1" applyProtection="1" quotePrefix="1">
      <alignment horizontal="center" vertical="center"/>
      <protection locked="0"/>
    </xf>
    <xf numFmtId="183" fontId="36" fillId="37" borderId="87" xfId="57" applyFont="1" applyFill="1" applyBorder="1" applyAlignment="1" applyProtection="1" quotePrefix="1">
      <alignment horizontal="center" vertical="center"/>
      <protection locked="0"/>
    </xf>
    <xf numFmtId="183" fontId="76" fillId="37" borderId="111" xfId="57" applyFont="1" applyFill="1" applyBorder="1" applyAlignment="1" applyProtection="1">
      <alignment horizontal="left" vertical="center"/>
      <protection locked="0"/>
    </xf>
    <xf numFmtId="183" fontId="76" fillId="37" borderId="116" xfId="57" applyFont="1" applyFill="1" applyBorder="1" applyAlignment="1" applyProtection="1">
      <alignment horizontal="left" vertical="center"/>
      <protection locked="0"/>
    </xf>
    <xf numFmtId="183" fontId="36" fillId="37" borderId="70" xfId="57" applyFont="1" applyFill="1" applyBorder="1" applyAlignment="1" applyProtection="1">
      <alignment horizontal="center" vertical="center" wrapText="1"/>
      <protection locked="0"/>
    </xf>
    <xf numFmtId="183" fontId="36" fillId="37" borderId="34" xfId="57" applyFont="1" applyFill="1" applyBorder="1" applyAlignment="1" applyProtection="1">
      <alignment horizontal="center" vertical="center" wrapText="1"/>
      <protection locked="0"/>
    </xf>
    <xf numFmtId="197" fontId="110" fillId="0" borderId="0" xfId="80" applyFont="1" applyAlignment="1">
      <alignment horizontal="center" vertical="center"/>
    </xf>
    <xf numFmtId="197" fontId="110" fillId="0" borderId="55" xfId="80" applyFont="1" applyBorder="1" applyAlignment="1">
      <alignment horizontal="left" vertical="center"/>
    </xf>
    <xf numFmtId="197" fontId="110" fillId="0" borderId="117" xfId="80" applyFont="1" applyBorder="1" applyAlignment="1">
      <alignment horizontal="left" vertical="center"/>
    </xf>
    <xf numFmtId="182" fontId="21" fillId="40" borderId="54" xfId="57" applyNumberFormat="1" applyFont="1" applyFill="1" applyBorder="1" applyAlignment="1">
      <alignment horizontal="left" vertical="center"/>
      <protection/>
    </xf>
    <xf numFmtId="182" fontId="21" fillId="40" borderId="83" xfId="57" applyNumberFormat="1" applyFont="1" applyFill="1" applyBorder="1" applyAlignment="1">
      <alignment horizontal="left" vertical="center"/>
      <protection/>
    </xf>
    <xf numFmtId="3" fontId="31" fillId="36" borderId="54" xfId="57" applyNumberFormat="1" applyFont="1" applyFill="1" applyBorder="1" applyAlignment="1" applyProtection="1">
      <alignment horizontal="right" vertical="center"/>
      <protection locked="0"/>
    </xf>
    <xf numFmtId="3" fontId="31" fillId="36" borderId="83" xfId="57" applyNumberFormat="1" applyFont="1" applyFill="1" applyBorder="1" applyAlignment="1" applyProtection="1">
      <alignment horizontal="right" vertical="center"/>
      <protection locked="0"/>
    </xf>
    <xf numFmtId="183" fontId="36" fillId="37" borderId="111" xfId="57" applyFont="1" applyFill="1" applyBorder="1" applyAlignment="1" applyProtection="1">
      <alignment horizontal="left" vertical="center"/>
      <protection locked="0"/>
    </xf>
    <xf numFmtId="183" fontId="36" fillId="37" borderId="170" xfId="57" applyFont="1" applyFill="1" applyBorder="1" applyAlignment="1" applyProtection="1">
      <alignment horizontal="left" vertical="center"/>
      <protection locked="0"/>
    </xf>
    <xf numFmtId="183" fontId="36" fillId="37" borderId="112" xfId="57" applyFont="1" applyFill="1" applyBorder="1" applyAlignment="1" applyProtection="1">
      <alignment horizontal="left" vertical="center"/>
      <protection locked="0"/>
    </xf>
    <xf numFmtId="183" fontId="36" fillId="37" borderId="145" xfId="57" applyFont="1" applyFill="1" applyBorder="1" applyAlignment="1" applyProtection="1">
      <alignment horizontal="left" vertical="center"/>
      <protection locked="0"/>
    </xf>
    <xf numFmtId="0" fontId="41" fillId="0" borderId="0" xfId="70" applyFont="1" applyAlignment="1">
      <alignment horizontal="center" vertical="center"/>
      <protection/>
    </xf>
    <xf numFmtId="0" fontId="10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110" fillId="0" borderId="0" xfId="64" applyFont="1" applyFill="1" applyBorder="1" applyAlignment="1">
      <alignment horizontal="center" vertical="center"/>
      <protection/>
    </xf>
    <xf numFmtId="183" fontId="36" fillId="37" borderId="0" xfId="57" applyFont="1" applyFill="1" applyBorder="1" applyAlignment="1">
      <alignment horizontal="center" vertical="center"/>
      <protection/>
    </xf>
    <xf numFmtId="183" fontId="36" fillId="37" borderId="81" xfId="57" applyFont="1" applyFill="1" applyBorder="1" applyAlignment="1">
      <alignment horizontal="center" vertical="center"/>
      <protection/>
    </xf>
    <xf numFmtId="183" fontId="24" fillId="37" borderId="171" xfId="57" applyFont="1" applyFill="1" applyBorder="1" applyAlignment="1" applyProtection="1">
      <alignment horizontal="center" vertical="center"/>
      <protection locked="0"/>
    </xf>
    <xf numFmtId="183" fontId="24" fillId="37" borderId="164" xfId="57" applyFont="1" applyFill="1" applyBorder="1" applyAlignment="1" applyProtection="1">
      <alignment horizontal="center" vertical="center"/>
      <protection locked="0"/>
    </xf>
    <xf numFmtId="183" fontId="24" fillId="37" borderId="53" xfId="57" applyFont="1" applyFill="1" applyBorder="1" applyAlignment="1" applyProtection="1">
      <alignment horizontal="center" vertical="center"/>
      <protection locked="0"/>
    </xf>
    <xf numFmtId="3" fontId="25" fillId="0" borderId="54" xfId="57" applyNumberFormat="1" applyFont="1" applyFill="1" applyBorder="1" applyAlignment="1" applyProtection="1">
      <alignment horizontal="center" vertical="center"/>
      <protection locked="0"/>
    </xf>
    <xf numFmtId="3" fontId="25" fillId="0" borderId="83" xfId="57" applyNumberFormat="1" applyFont="1" applyFill="1" applyBorder="1" applyAlignment="1" applyProtection="1">
      <alignment horizontal="center" vertical="center"/>
      <protection locked="0"/>
    </xf>
    <xf numFmtId="183" fontId="24" fillId="38" borderId="29" xfId="57" applyFont="1" applyFill="1" applyBorder="1" applyAlignment="1">
      <alignment horizontal="center" vertical="center"/>
      <protection/>
    </xf>
    <xf numFmtId="0" fontId="63" fillId="0" borderId="0" xfId="72" applyFont="1" applyAlignment="1">
      <alignment horizontal="left" vertical="center"/>
      <protection/>
    </xf>
    <xf numFmtId="0" fontId="62" fillId="0" borderId="0" xfId="72" applyFont="1" applyAlignment="1">
      <alignment horizontal="center" vertical="center"/>
      <protection/>
    </xf>
    <xf numFmtId="0" fontId="69" fillId="0" borderId="0" xfId="70" applyFont="1" applyAlignment="1">
      <alignment horizontal="center" vertical="center"/>
      <protection/>
    </xf>
    <xf numFmtId="4" fontId="18" fillId="0" borderId="29" xfId="0" applyNumberFormat="1" applyFont="1" applyFill="1" applyBorder="1" applyAlignment="1">
      <alignment horizontal="left" vertical="center" wrapText="1"/>
    </xf>
    <xf numFmtId="4" fontId="18" fillId="36" borderId="29" xfId="0" applyNumberFormat="1" applyFont="1" applyFill="1" applyBorder="1" applyAlignment="1">
      <alignment horizontal="left" vertical="center" wrapText="1"/>
    </xf>
    <xf numFmtId="183" fontId="26" fillId="38" borderId="54" xfId="57" applyFont="1" applyFill="1" applyBorder="1" applyAlignment="1">
      <alignment horizontal="center" vertical="center"/>
      <protection/>
    </xf>
    <xf numFmtId="183" fontId="26" fillId="38" borderId="83" xfId="57" applyFont="1" applyFill="1" applyBorder="1" applyAlignment="1">
      <alignment horizontal="center" vertical="center"/>
      <protection/>
    </xf>
    <xf numFmtId="0" fontId="10" fillId="0" borderId="172" xfId="75" applyFont="1" applyBorder="1" applyAlignment="1">
      <alignment horizontal="center" vertical="center"/>
      <protection/>
    </xf>
    <xf numFmtId="0" fontId="10" fillId="0" borderId="0" xfId="72" applyFont="1" applyAlignment="1">
      <alignment horizontal="center" vertical="center"/>
      <protection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6" fillId="37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83" fontId="36" fillId="37" borderId="171" xfId="57" applyFont="1" applyFill="1" applyBorder="1" applyAlignment="1" applyProtection="1">
      <alignment horizontal="center" vertical="center"/>
      <protection locked="0"/>
    </xf>
    <xf numFmtId="183" fontId="36" fillId="37" borderId="164" xfId="57" applyFont="1" applyFill="1" applyBorder="1" applyAlignment="1" applyProtection="1">
      <alignment horizontal="center" vertical="center"/>
      <protection locked="0"/>
    </xf>
    <xf numFmtId="183" fontId="36" fillId="37" borderId="53" xfId="57" applyFont="1" applyFill="1" applyBorder="1" applyAlignment="1" applyProtection="1">
      <alignment horizontal="center" vertical="center"/>
      <protection locked="0"/>
    </xf>
    <xf numFmtId="183" fontId="23" fillId="0" borderId="85" xfId="57" applyFont="1" applyFill="1" applyBorder="1" applyAlignment="1" applyProtection="1">
      <alignment horizontal="left" vertical="center"/>
      <protection locked="0"/>
    </xf>
    <xf numFmtId="183" fontId="23" fillId="0" borderId="40" xfId="57" applyFont="1" applyFill="1" applyBorder="1" applyAlignment="1" applyProtection="1" quotePrefix="1">
      <alignment horizontal="left" vertical="center" wrapText="1"/>
      <protection locked="0"/>
    </xf>
    <xf numFmtId="183" fontId="23" fillId="0" borderId="42" xfId="57" applyFont="1" applyFill="1" applyBorder="1" applyAlignment="1" applyProtection="1" quotePrefix="1">
      <alignment horizontal="left" vertical="center" wrapText="1"/>
      <protection locked="0"/>
    </xf>
    <xf numFmtId="183" fontId="23" fillId="0" borderId="173" xfId="57" applyFont="1" applyFill="1" applyBorder="1" applyAlignment="1" applyProtection="1" quotePrefix="1">
      <alignment horizontal="left" vertical="center" wrapText="1"/>
      <protection locked="0"/>
    </xf>
    <xf numFmtId="0" fontId="17" fillId="0" borderId="0" xfId="64" applyFont="1" applyFill="1" applyBorder="1" applyAlignment="1">
      <alignment horizontal="center" vertical="center"/>
      <protection/>
    </xf>
    <xf numFmtId="3" fontId="31" fillId="0" borderId="54" xfId="57" applyNumberFormat="1" applyFont="1" applyFill="1" applyBorder="1" applyAlignment="1" applyProtection="1">
      <alignment horizontal="center" vertical="center"/>
      <protection locked="0"/>
    </xf>
    <xf numFmtId="3" fontId="31" fillId="0" borderId="83" xfId="57" applyNumberFormat="1" applyFont="1" applyFill="1" applyBorder="1" applyAlignment="1" applyProtection="1">
      <alignment horizontal="center" vertical="center"/>
      <protection locked="0"/>
    </xf>
    <xf numFmtId="183" fontId="23" fillId="0" borderId="82" xfId="57" applyFont="1" applyFill="1" applyBorder="1" applyAlignment="1" applyProtection="1">
      <alignment horizontal="left" vertical="center"/>
      <protection locked="0"/>
    </xf>
    <xf numFmtId="183" fontId="23" fillId="0" borderId="0" xfId="57" applyFont="1" applyFill="1" applyBorder="1" applyAlignment="1" applyProtection="1">
      <alignment horizontal="left" vertical="center"/>
      <protection locked="0"/>
    </xf>
    <xf numFmtId="183" fontId="23" fillId="0" borderId="81" xfId="57" applyFont="1" applyFill="1" applyBorder="1" applyAlignment="1" applyProtection="1">
      <alignment horizontal="left" vertical="center"/>
      <protection locked="0"/>
    </xf>
    <xf numFmtId="183" fontId="23" fillId="0" borderId="54" xfId="57" applyFont="1" applyFill="1" applyBorder="1" applyAlignment="1" applyProtection="1">
      <alignment horizontal="left" vertical="center"/>
      <protection locked="0"/>
    </xf>
    <xf numFmtId="183" fontId="23" fillId="0" borderId="117" xfId="57" applyFont="1" applyFill="1" applyBorder="1" applyAlignment="1" applyProtection="1">
      <alignment horizontal="left" vertical="center"/>
      <protection locked="0"/>
    </xf>
    <xf numFmtId="183" fontId="23" fillId="0" borderId="83" xfId="57" applyFont="1" applyFill="1" applyBorder="1" applyAlignment="1" applyProtection="1">
      <alignment horizontal="left" vertical="center"/>
      <protection locked="0"/>
    </xf>
    <xf numFmtId="183" fontId="23" fillId="0" borderId="174" xfId="57" applyFont="1" applyFill="1" applyBorder="1" applyAlignment="1" applyProtection="1">
      <alignment horizontal="left" vertical="center" wrapText="1"/>
      <protection locked="0"/>
    </xf>
    <xf numFmtId="183" fontId="23" fillId="0" borderId="91" xfId="57" applyFont="1" applyFill="1" applyBorder="1" applyAlignment="1" applyProtection="1">
      <alignment horizontal="left" vertical="center" wrapText="1"/>
      <protection locked="0"/>
    </xf>
    <xf numFmtId="183" fontId="23" fillId="0" borderId="175" xfId="57" applyFont="1" applyFill="1" applyBorder="1" applyAlignment="1" applyProtection="1">
      <alignment horizontal="left" vertical="center" wrapText="1"/>
      <protection locked="0"/>
    </xf>
    <xf numFmtId="183" fontId="23" fillId="0" borderId="176" xfId="57" applyFont="1" applyFill="1" applyBorder="1" applyAlignment="1" applyProtection="1">
      <alignment horizontal="left" vertical="center"/>
      <protection locked="0"/>
    </xf>
    <xf numFmtId="183" fontId="23" fillId="0" borderId="177" xfId="57" applyFont="1" applyFill="1" applyBorder="1" applyAlignment="1" applyProtection="1">
      <alignment horizontal="left" vertical="center"/>
      <protection locked="0"/>
    </xf>
    <xf numFmtId="183" fontId="23" fillId="0" borderId="178" xfId="57" applyFont="1" applyFill="1" applyBorder="1" applyAlignment="1" applyProtection="1">
      <alignment horizontal="left" vertical="center"/>
      <protection locked="0"/>
    </xf>
    <xf numFmtId="183" fontId="23" fillId="0" borderId="40" xfId="57" applyFont="1" applyFill="1" applyBorder="1" applyAlignment="1" applyProtection="1">
      <alignment horizontal="left" vertical="center" wrapText="1"/>
      <protection locked="0"/>
    </xf>
    <xf numFmtId="183" fontId="23" fillId="0" borderId="42" xfId="57" applyFont="1" applyFill="1" applyBorder="1" applyAlignment="1" applyProtection="1">
      <alignment horizontal="left" vertical="center" wrapText="1"/>
      <protection locked="0"/>
    </xf>
    <xf numFmtId="183" fontId="23" fillId="0" borderId="173" xfId="57" applyFont="1" applyFill="1" applyBorder="1" applyAlignment="1" applyProtection="1">
      <alignment horizontal="left" vertical="center" wrapText="1"/>
      <protection locked="0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17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10 років  (2)" xfId="64"/>
    <cellStyle name="Обычный_5 років" xfId="65"/>
    <cellStyle name="Обычный_5 років_1" xfId="66"/>
    <cellStyle name="Обычный_C17_1 (1)" xfId="67"/>
    <cellStyle name="Обычный_FORM_R" xfId="68"/>
    <cellStyle name="Обычный_FORM_U" xfId="69"/>
    <cellStyle name="Обычный_GOT_OF2" xfId="70"/>
    <cellStyle name="Обычный_kv" xfId="71"/>
    <cellStyle name="Обычный_Risk (2)" xfId="72"/>
    <cellStyle name="Обычный_telefon" xfId="73"/>
    <cellStyle name="Обычный_бизнесплан2" xfId="74"/>
    <cellStyle name="Обычный_Граф.8" xfId="75"/>
    <cellStyle name="Обычный_Проба" xfId="76"/>
    <cellStyle name="Обычный_ЧУТ" xfId="77"/>
    <cellStyle name="Тысячи [0]_5 років" xfId="78"/>
    <cellStyle name="Тысячи_5 років" xfId="79"/>
    <cellStyle name="Финансовый_PROGNOZ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5"/>
          <c:w val="0.812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Акцент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КНК!$C$5:$C$10</c:f>
              <c:numCache/>
            </c:numRef>
          </c:val>
        </c:ser>
        <c:ser>
          <c:idx val="1"/>
          <c:order val="1"/>
          <c:tx>
            <c:v>Вест-гал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КНК!$D$5:$D$10</c:f>
              <c:numCache/>
            </c:numRef>
          </c:val>
        </c:ser>
        <c:ser>
          <c:idx val="2"/>
          <c:order val="2"/>
          <c:tx>
            <c:v>Імста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КНК!$E$5:$E$10</c:f>
              <c:numCache/>
            </c:numRef>
          </c:val>
        </c:ser>
        <c:ser>
          <c:idx val="3"/>
          <c:order val="3"/>
          <c:tx>
            <c:v>Асва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КНК!$F$5:$F$10</c:f>
              <c:numCache/>
            </c:numRef>
          </c:val>
        </c:ser>
        <c:ser>
          <c:idx val="4"/>
          <c:order val="4"/>
          <c:tx>
            <c:v>Пальміра плюс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КНК!$G$5:$G$10</c:f>
              <c:numCache/>
            </c:numRef>
          </c:val>
        </c:ser>
        <c:ser>
          <c:idx val="5"/>
          <c:order val="5"/>
          <c:tx>
            <c:v>Лік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КНК!$H$5:$H$10</c:f>
              <c:numCache/>
            </c:numRef>
          </c:val>
        </c:ser>
        <c:axId val="38635178"/>
        <c:axId val="12172283"/>
      </c:bar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72283"/>
        <c:crosses val="autoZero"/>
        <c:auto val="1"/>
        <c:lblOffset val="80"/>
        <c:tickLblSkip val="1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3517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255"/>
          <c:w val="0.1745"/>
          <c:h val="0.7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5"/>
          <c:y val="-0.00275"/>
          <c:w val="0.85125"/>
          <c:h val="0.96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ЧУТ!$B$69:$H$69</c:f>
              <c:numCache/>
            </c:numRef>
          </c:cat>
          <c:val>
            <c:numRef>
              <c:f>ЧУТ!$B$70:$H$70</c:f>
              <c:numCache/>
            </c:numRef>
          </c:val>
          <c:smooth val="1"/>
        </c:ser>
        <c:ser>
          <c:idx val="1"/>
          <c:order val="1"/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ЧУТ!$B$69:$H$69</c:f>
              <c:numCache/>
            </c:numRef>
          </c:cat>
          <c:val>
            <c:numRef>
              <c:f>ЧУТ!$B$71:$H$71</c:f>
              <c:numCache/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0757"/>
        <c:crosses val="autoZero"/>
        <c:auto val="0"/>
        <c:lblOffset val="0"/>
        <c:tickLblSkip val="1"/>
        <c:noMultiLvlLbl val="0"/>
      </c:catAx>
      <c:valAx>
        <c:axId val="44290757"/>
        <c:scaling>
          <c:orientation val="minMax"/>
          <c:max val="700000"/>
          <c:min val="-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Чиста приведена вартість та гроші на р/рахунку, грн.
</a:t>
                </a:r>
              </a:p>
            </c:rich>
          </c:tx>
          <c:layout>
            <c:manualLayout>
              <c:xMode val="factor"/>
              <c:yMode val="factor"/>
              <c:x val="0.000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34276"/>
        <c:crossesAt val="1"/>
        <c:crossBetween val="between"/>
        <c:dispUnits/>
        <c:majorUnit val="10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-0.0045"/>
          <c:w val="0.85275"/>
          <c:h val="0.93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ЧУТ!$B$22:$H$22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ЧУТ!$B$23:$H$23</c:f>
              <c:numCache/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Процентна ставка , %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0781535"/>
        <c:crossesAt val="0"/>
        <c:auto val="0"/>
        <c:lblOffset val="100"/>
        <c:tickLblSkip val="1"/>
        <c:noMultiLvlLbl val="0"/>
      </c:catAx>
      <c:valAx>
        <c:axId val="30781535"/>
        <c:scaling>
          <c:orientation val="minMax"/>
          <c:max val="1000000"/>
          <c:min val="-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Чиста приведена вартісь, грн.
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72494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425"/>
          <c:w val="0.981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ОБГ!$A$7:$E$7</c:f>
              <c:strCache/>
            </c:strRef>
          </c:cat>
          <c:val>
            <c:numRef>
              <c:f>ОБГ!$A$9:$E$9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ОБГ!$A$7:$E$7</c:f>
              <c:strCache/>
            </c:strRef>
          </c:cat>
          <c:val>
            <c:numRef>
              <c:f>ОБГ!$A$13:$E$13</c:f>
              <c:numCache/>
            </c:numRef>
          </c:val>
        </c:ser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4168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9872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ДВГ!$A$6:$B$8</c:f>
              <c:multiLvlStrCache/>
            </c:multiLvlStrRef>
          </c:cat>
          <c:val>
            <c:numRef>
              <c:f>ДВГ!$C$6:$C$8</c:f>
              <c:numCache/>
            </c:numRef>
          </c:val>
        </c:ser>
        <c:gapWidth val="50"/>
        <c:axId val="15224350"/>
        <c:axId val="2801423"/>
      </c:barChart>
      <c:catAx>
        <c:axId val="1522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Номери траншів, дати </a:t>
                </a:r>
              </a:p>
            </c:rich>
          </c:tx>
          <c:layout>
            <c:manualLayout>
              <c:xMode val="factor"/>
              <c:yMode val="factor"/>
              <c:x val="0.0012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2435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,##0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ДВГ!#REF!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ДВГ!#REF!</c:f>
              <c:numCache>
                <c:ptCount val="1"/>
                <c:pt idx="0">
                  <c:v>1</c:v>
                </c:pt>
              </c:numCache>
            </c:numRef>
          </c:val>
        </c:ser>
        <c:axId val="25212808"/>
        <c:axId val="25588681"/>
      </c:bar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1280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685"/>
          <c:h val="0.9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8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\,##0" sourceLinked="0"/>
            <c:txPr>
              <a:bodyPr vert="horz" rot="-540000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БРГ!$A$6:$B$10</c:f>
              <c:multiLvlStrCache/>
            </c:multiLvlStrRef>
          </c:cat>
          <c:val>
            <c:numRef>
              <c:f>БРГ!$C$6:$C$10</c:f>
              <c:numCache/>
            </c:numRef>
          </c:val>
        </c:ser>
        <c:axId val="28971538"/>
        <c:axId val="59417251"/>
      </c:bar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715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2"/>
          <c:w val="0.999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ОД!$L$2</c:f>
              <c:strCache>
                <c:ptCount val="1"/>
                <c:pt idx="0">
                  <c:v>Валова виручка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ОД!$M$2:$Q$2</c:f>
              <c:numCache/>
            </c:numRef>
          </c:val>
          <c:smooth val="0"/>
        </c:ser>
        <c:ser>
          <c:idx val="1"/>
          <c:order val="1"/>
          <c:tx>
            <c:strRef>
              <c:f>ОД!$L$3</c:f>
              <c:strCache>
                <c:ptCount val="1"/>
                <c:pt idx="0">
                  <c:v>Валові затрати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ОД!$M$3:$Q$3</c:f>
              <c:numCache/>
            </c:numRef>
          </c:val>
          <c:smooth val="0"/>
        </c:ser>
        <c:ser>
          <c:idx val="2"/>
          <c:order val="2"/>
          <c:tx>
            <c:strRef>
              <c:f>ОД!$L$4</c:f>
              <c:strCache>
                <c:ptCount val="1"/>
                <c:pt idx="0">
                  <c:v>Виплата відсотків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ОД!$M$4:$Q$4</c:f>
              <c:numCache/>
            </c:numRef>
          </c:val>
          <c:smooth val="0"/>
        </c:ser>
        <c:ser>
          <c:idx val="3"/>
          <c:order val="3"/>
          <c:tx>
            <c:strRef>
              <c:f>ОД!$L$5</c:f>
              <c:strCache>
                <c:ptCount val="1"/>
                <c:pt idx="0">
                  <c:v>Прибуток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ОД!$M$5:$Q$5</c:f>
              <c:numCache/>
            </c:numRef>
          </c:val>
          <c:smooth val="0"/>
        </c:ser>
        <c:ser>
          <c:idx val="4"/>
          <c:order val="4"/>
          <c:tx>
            <c:strRef>
              <c:f>ОД!$L$6</c:f>
              <c:strCache>
                <c:ptCount val="1"/>
                <c:pt idx="0">
                  <c:v>Чистий прибуток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ОД!$M$6:$Q$6</c:f>
              <c:numCache/>
            </c:numRef>
          </c:val>
          <c:smooth val="0"/>
        </c:ser>
        <c:ser>
          <c:idx val="5"/>
          <c:order val="5"/>
          <c:tx>
            <c:strRef>
              <c:f>ОД!$L$7</c:f>
              <c:strCache>
                <c:ptCount val="1"/>
                <c:pt idx="0">
                  <c:v>Податки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ОД!$M$7:$Q$7</c:f>
              <c:numCache/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67997"/>
        <c:crosses val="autoZero"/>
        <c:auto val="0"/>
        <c:lblOffset val="100"/>
        <c:tickLblSkip val="1"/>
        <c:noMultiLvlLbl val="0"/>
      </c:catAx>
      <c:valAx>
        <c:axId val="4806799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93212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999933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1"/>
          <c:y val="0.3655"/>
          <c:w val="0.3542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РИЗ!#REF!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РИЗ!#REF!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Процентная ставка 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3655"/>
        <c:crosses val="autoZero"/>
        <c:auto val="0"/>
        <c:lblOffset val="100"/>
        <c:tickLblSkip val="1"/>
        <c:noMultiLvlLbl val="0"/>
      </c:catAx>
      <c:valAx>
        <c:axId val="1193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Чистая приведенная стоимость,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587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0625"/>
          <c:w val="0.970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БЕЗ!$C$12:$G$13</c:f>
              <c:multiLvlStrCache/>
            </c:multiLvlStrRef>
          </c:cat>
          <c:val>
            <c:numRef>
              <c:f>БЕЗ!$C$14:$G$14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БЕЗ!$C$12:$G$13</c:f>
              <c:multiLvlStrCache/>
            </c:multiLvlStrRef>
          </c:cat>
          <c:val>
            <c:numRef>
              <c:f>БЕЗ!$C$15:$G$15</c:f>
              <c:numCache/>
            </c:numRef>
          </c:val>
          <c:smooth val="0"/>
        </c:ser>
        <c:marker val="1"/>
        <c:axId val="10742896"/>
        <c:axId val="29577201"/>
      </c:lineChart>
      <c:catAx>
        <c:axId val="10742896"/>
        <c:scaling>
          <c:orientation val="minMax"/>
        </c:scaling>
        <c:axPos val="b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77201"/>
        <c:crosses val="autoZero"/>
        <c:auto val="0"/>
        <c:lblOffset val="100"/>
        <c:tickLblSkip val="1"/>
        <c:noMultiLvlLbl val="0"/>
      </c:catAx>
      <c:valAx>
        <c:axId val="29577201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42896"/>
        <c:crossesAt val="1"/>
        <c:crossBetween val="between"/>
        <c:dispUnits/>
      </c:valAx>
      <c:spPr>
        <a:gradFill rotWithShape="1">
          <a:gsLst>
            <a:gs pos="0">
              <a:srgbClr val="E0E0C1"/>
            </a:gs>
            <a:gs pos="100000">
              <a:srgbClr val="999933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-0.00475"/>
          <c:w val="0.8585"/>
          <c:h val="0.93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ЧУТ!$B$5:$H$5</c:f>
              <c:numCache/>
            </c:numRef>
          </c:cat>
          <c:val>
            <c:numRef>
              <c:f>ЧУТ!$B$6:$H$6</c:f>
              <c:numCache/>
            </c:numRef>
          </c:val>
          <c:smooth val="1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Ставка дисконту, %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43051"/>
        <c:crosses val="autoZero"/>
        <c:auto val="0"/>
        <c:lblOffset val="0"/>
        <c:tickLblSkip val="1"/>
        <c:noMultiLvlLbl val="0"/>
      </c:catAx>
      <c:valAx>
        <c:axId val="46943051"/>
        <c:scaling>
          <c:orientation val="minMax"/>
          <c:max val="3700000"/>
          <c:min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Чиста приведена вартість, грн.
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6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wmf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838200</xdr:colOff>
      <xdr:row>16</xdr:row>
      <xdr:rowOff>123825</xdr:rowOff>
    </xdr:from>
    <xdr:to>
      <xdr:col>22</xdr:col>
      <xdr:colOff>1038225</xdr:colOff>
      <xdr:row>16</xdr:row>
      <xdr:rowOff>123825</xdr:rowOff>
    </xdr:to>
    <xdr:sp>
      <xdr:nvSpPr>
        <xdr:cNvPr id="1" name="Line 5"/>
        <xdr:cNvSpPr>
          <a:spLocks/>
        </xdr:cNvSpPr>
      </xdr:nvSpPr>
      <xdr:spPr>
        <a:xfrm>
          <a:off x="10201275" y="26479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838200</xdr:colOff>
      <xdr:row>27</xdr:row>
      <xdr:rowOff>114300</xdr:rowOff>
    </xdr:from>
    <xdr:to>
      <xdr:col>22</xdr:col>
      <xdr:colOff>1038225</xdr:colOff>
      <xdr:row>27</xdr:row>
      <xdr:rowOff>114300</xdr:rowOff>
    </xdr:to>
    <xdr:sp>
      <xdr:nvSpPr>
        <xdr:cNvPr id="2" name="Line 8"/>
        <xdr:cNvSpPr>
          <a:spLocks/>
        </xdr:cNvSpPr>
      </xdr:nvSpPr>
      <xdr:spPr>
        <a:xfrm>
          <a:off x="10201275" y="412432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838200</xdr:colOff>
      <xdr:row>14</xdr:row>
      <xdr:rowOff>123825</xdr:rowOff>
    </xdr:from>
    <xdr:to>
      <xdr:col>22</xdr:col>
      <xdr:colOff>1038225</xdr:colOff>
      <xdr:row>14</xdr:row>
      <xdr:rowOff>123825</xdr:rowOff>
    </xdr:to>
    <xdr:sp>
      <xdr:nvSpPr>
        <xdr:cNvPr id="3" name="Line 15"/>
        <xdr:cNvSpPr>
          <a:spLocks/>
        </xdr:cNvSpPr>
      </xdr:nvSpPr>
      <xdr:spPr>
        <a:xfrm>
          <a:off x="10201275" y="239077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0</xdr:row>
      <xdr:rowOff>285750</xdr:rowOff>
    </xdr:from>
    <xdr:to>
      <xdr:col>25</xdr:col>
      <xdr:colOff>0</xdr:colOff>
      <xdr:row>0</xdr:row>
      <xdr:rowOff>285750</xdr:rowOff>
    </xdr:to>
    <xdr:sp>
      <xdr:nvSpPr>
        <xdr:cNvPr id="4" name="Line 16"/>
        <xdr:cNvSpPr>
          <a:spLocks/>
        </xdr:cNvSpPr>
      </xdr:nvSpPr>
      <xdr:spPr>
        <a:xfrm>
          <a:off x="1981200" y="285750"/>
          <a:ext cx="1038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8</xdr:row>
      <xdr:rowOff>28575</xdr:rowOff>
    </xdr:from>
    <xdr:to>
      <xdr:col>7</xdr:col>
      <xdr:colOff>1562100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009775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123825</xdr:rowOff>
    </xdr:from>
    <xdr:to>
      <xdr:col>6</xdr:col>
      <xdr:colOff>752475</xdr:colOff>
      <xdr:row>7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723900"/>
          <a:ext cx="65055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Погашення основного боргу передбачається розпочати після введення в дію ВПЦ "ФАКЕЛ" - на початку 2007 року. Сплата відсотків за довгостроковий кредит відбуватиметься в кінці кожного кварталу.  Погашення основного боргу буде здійснюватися щоквартальними  платежами.  На  період  реконструкції  ВПЦ сплата відсотків за наданий кредит  відбуватиметься  за  рахунок  власних  коштів підприємства.</a:t>
          </a:r>
        </a:p>
      </xdr:txBody>
    </xdr:sp>
    <xdr:clientData/>
  </xdr:twoCellAnchor>
  <xdr:twoCellAnchor>
    <xdr:from>
      <xdr:col>0</xdr:col>
      <xdr:colOff>9525</xdr:colOff>
      <xdr:row>0</xdr:row>
      <xdr:rowOff>428625</xdr:rowOff>
    </xdr:from>
    <xdr:to>
      <xdr:col>7</xdr:col>
      <xdr:colOff>0</xdr:colOff>
      <xdr:row>0</xdr:row>
      <xdr:rowOff>428625</xdr:rowOff>
    </xdr:to>
    <xdr:sp>
      <xdr:nvSpPr>
        <xdr:cNvPr id="3" name="Line 3"/>
        <xdr:cNvSpPr>
          <a:spLocks/>
        </xdr:cNvSpPr>
      </xdr:nvSpPr>
      <xdr:spPr>
        <a:xfrm>
          <a:off x="9525" y="428625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039100" y="7362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8039100" y="7362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0</xdr:col>
      <xdr:colOff>685800</xdr:colOff>
      <xdr:row>1</xdr:row>
      <xdr:rowOff>304800</xdr:rowOff>
    </xdr:from>
    <xdr:to>
      <xdr:col>7</xdr:col>
      <xdr:colOff>0</xdr:colOff>
      <xdr:row>1</xdr:row>
      <xdr:rowOff>304800</xdr:rowOff>
    </xdr:to>
    <xdr:sp>
      <xdr:nvSpPr>
        <xdr:cNvPr id="3" name="Line 3"/>
        <xdr:cNvSpPr>
          <a:spLocks/>
        </xdr:cNvSpPr>
      </xdr:nvSpPr>
      <xdr:spPr>
        <a:xfrm>
          <a:off x="685800" y="485775"/>
          <a:ext cx="1118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572375" y="7439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572375" y="7439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0</xdr:col>
      <xdr:colOff>742950</xdr:colOff>
      <xdr:row>0</xdr:row>
      <xdr:rowOff>419100</xdr:rowOff>
    </xdr:from>
    <xdr:to>
      <xdr:col>7</xdr:col>
      <xdr:colOff>0</xdr:colOff>
      <xdr:row>0</xdr:row>
      <xdr:rowOff>419100</xdr:rowOff>
    </xdr:to>
    <xdr:sp>
      <xdr:nvSpPr>
        <xdr:cNvPr id="3" name="Line 3"/>
        <xdr:cNvSpPr>
          <a:spLocks/>
        </xdr:cNvSpPr>
      </xdr:nvSpPr>
      <xdr:spPr>
        <a:xfrm>
          <a:off x="742950" y="419100"/>
          <a:ext cx="1042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696200" y="7229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696200" y="7229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 editAs="oneCell">
    <xdr:from>
      <xdr:col>7</xdr:col>
      <xdr:colOff>85725</xdr:colOff>
      <xdr:row>15</xdr:row>
      <xdr:rowOff>0</xdr:rowOff>
    </xdr:from>
    <xdr:to>
      <xdr:col>7</xdr:col>
      <xdr:colOff>1571625</xdr:colOff>
      <xdr:row>16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105275"/>
          <a:ext cx="1485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</xdr:row>
      <xdr:rowOff>9525</xdr:rowOff>
    </xdr:from>
    <xdr:to>
      <xdr:col>7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333375" y="447675"/>
          <a:ext cx="1119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134350" y="6505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Текст 9"/>
        <xdr:cNvSpPr txBox="1">
          <a:spLocks noChangeArrowheads="1"/>
        </xdr:cNvSpPr>
      </xdr:nvSpPr>
      <xdr:spPr>
        <a:xfrm>
          <a:off x="8134350" y="6505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14</xdr:col>
      <xdr:colOff>142875</xdr:colOff>
      <xdr:row>5</xdr:row>
      <xdr:rowOff>0</xdr:rowOff>
    </xdr:from>
    <xdr:to>
      <xdr:col>14</xdr:col>
      <xdr:colOff>647700</xdr:colOff>
      <xdr:row>5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3449300" y="1438275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0</xdr:col>
      <xdr:colOff>85725</xdr:colOff>
      <xdr:row>1</xdr:row>
      <xdr:rowOff>38100</xdr:rowOff>
    </xdr:from>
    <xdr:to>
      <xdr:col>9</xdr:col>
      <xdr:colOff>0</xdr:colOff>
      <xdr:row>1</xdr:row>
      <xdr:rowOff>38100</xdr:rowOff>
    </xdr:to>
    <xdr:sp>
      <xdr:nvSpPr>
        <xdr:cNvPr id="4" name="Line 4"/>
        <xdr:cNvSpPr>
          <a:spLocks/>
        </xdr:cNvSpPr>
      </xdr:nvSpPr>
      <xdr:spPr>
        <a:xfrm>
          <a:off x="85725" y="285750"/>
          <a:ext cx="1136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695450" y="2857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001000" y="763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" name="Текст 9"/>
        <xdr:cNvSpPr txBox="1">
          <a:spLocks noChangeArrowheads="1"/>
        </xdr:cNvSpPr>
      </xdr:nvSpPr>
      <xdr:spPr>
        <a:xfrm>
          <a:off x="8001000" y="763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17</xdr:col>
      <xdr:colOff>142875</xdr:colOff>
      <xdr:row>7</xdr:row>
      <xdr:rowOff>0</xdr:rowOff>
    </xdr:from>
    <xdr:to>
      <xdr:col>17</xdr:col>
      <xdr:colOff>657225</xdr:colOff>
      <xdr:row>7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7802225" y="169545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1</xdr:col>
      <xdr:colOff>1219200</xdr:colOff>
      <xdr:row>1</xdr:row>
      <xdr:rowOff>38100</xdr:rowOff>
    </xdr:from>
    <xdr:to>
      <xdr:col>8</xdr:col>
      <xdr:colOff>1162050</xdr:colOff>
      <xdr:row>1</xdr:row>
      <xdr:rowOff>38100</xdr:rowOff>
    </xdr:to>
    <xdr:sp>
      <xdr:nvSpPr>
        <xdr:cNvPr id="4" name="Line 30"/>
        <xdr:cNvSpPr>
          <a:spLocks/>
        </xdr:cNvSpPr>
      </xdr:nvSpPr>
      <xdr:spPr>
        <a:xfrm>
          <a:off x="1657350" y="2857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9</xdr:col>
      <xdr:colOff>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809625"/>
        <a:ext cx="97917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22</xdr:row>
      <xdr:rowOff>0</xdr:rowOff>
    </xdr:from>
    <xdr:to>
      <xdr:col>3</xdr:col>
      <xdr:colOff>904875</xdr:colOff>
      <xdr:row>22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057650" y="5153025"/>
          <a:ext cx="762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0"/>
          <a:ext cx="7362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26</xdr:row>
      <xdr:rowOff>0</xdr:rowOff>
    </xdr:from>
    <xdr:to>
      <xdr:col>3</xdr:col>
      <xdr:colOff>904875</xdr:colOff>
      <xdr:row>26</xdr:row>
      <xdr:rowOff>0</xdr:rowOff>
    </xdr:to>
    <xdr:sp>
      <xdr:nvSpPr>
        <xdr:cNvPr id="4" name="Текст 9"/>
        <xdr:cNvSpPr txBox="1">
          <a:spLocks noChangeArrowheads="1"/>
        </xdr:cNvSpPr>
      </xdr:nvSpPr>
      <xdr:spPr>
        <a:xfrm>
          <a:off x="4095750" y="613410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Текст 11"/>
        <xdr:cNvSpPr txBox="1">
          <a:spLocks noChangeArrowheads="1"/>
        </xdr:cNvSpPr>
      </xdr:nvSpPr>
      <xdr:spPr>
        <a:xfrm>
          <a:off x="7362825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Текст 12"/>
        <xdr:cNvSpPr txBox="1">
          <a:spLocks noChangeArrowheads="1"/>
        </xdr:cNvSpPr>
      </xdr:nvSpPr>
      <xdr:spPr>
        <a:xfrm>
          <a:off x="7362825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7" name="Текст 13"/>
        <xdr:cNvSpPr txBox="1">
          <a:spLocks noChangeArrowheads="1"/>
        </xdr:cNvSpPr>
      </xdr:nvSpPr>
      <xdr:spPr>
        <a:xfrm>
          <a:off x="7362825" y="419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Текст 14"/>
        <xdr:cNvSpPr txBox="1">
          <a:spLocks noChangeArrowheads="1"/>
        </xdr:cNvSpPr>
      </xdr:nvSpPr>
      <xdr:spPr>
        <a:xfrm>
          <a:off x="7362825" y="419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" name="Текст 15"/>
        <xdr:cNvSpPr txBox="1">
          <a:spLocks noChangeArrowheads="1"/>
        </xdr:cNvSpPr>
      </xdr:nvSpPr>
      <xdr:spPr>
        <a:xfrm>
          <a:off x="7362825" y="220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" name="Текст 16"/>
        <xdr:cNvSpPr txBox="1">
          <a:spLocks noChangeArrowheads="1"/>
        </xdr:cNvSpPr>
      </xdr:nvSpPr>
      <xdr:spPr>
        <a:xfrm>
          <a:off x="7362825" y="220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3</xdr:col>
      <xdr:colOff>180975</xdr:colOff>
      <xdr:row>26</xdr:row>
      <xdr:rowOff>0</xdr:rowOff>
    </xdr:from>
    <xdr:to>
      <xdr:col>3</xdr:col>
      <xdr:colOff>904875</xdr:colOff>
      <xdr:row>26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095750" y="613410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лет</a:t>
          </a:r>
        </a:p>
      </xdr:txBody>
    </xdr:sp>
    <xdr:clientData/>
  </xdr:twoCellAnchor>
  <xdr:twoCellAnchor>
    <xdr:from>
      <xdr:col>0</xdr:col>
      <xdr:colOff>1400175</xdr:colOff>
      <xdr:row>2</xdr:row>
      <xdr:rowOff>9525</xdr:rowOff>
    </xdr:from>
    <xdr:to>
      <xdr:col>5</xdr:col>
      <xdr:colOff>1038225</xdr:colOff>
      <xdr:row>2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400175" y="428625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" name="Текст 6"/>
        <xdr:cNvSpPr txBox="1">
          <a:spLocks noChangeArrowheads="1"/>
        </xdr:cNvSpPr>
      </xdr:nvSpPr>
      <xdr:spPr>
        <a:xfrm>
          <a:off x="0" y="6886575"/>
          <a:ext cx="824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На графиках подана зависимость ЧПС (чистой приведенной стоимости) от вероятных колебаний дисконтной (рис. 11)  и процентной (рис. 12) ставок.  Для построения графиков использована математическая модель, лежащая в основе расчета денежных потоков за время действия договора на предоставление банковской гарантии и  соответствующая компьютерная программа.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При изменении  значений процентной ставки в интервале  от [9%, 27%]  с шагом 3% и дисконтной в интервале [4%, 16%] с шагом 2%,  при помощи программы расчитывались значения ЧПС и  ИП - индекса прибыльности проекта.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Внутренняя норма доходности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IRR=24,76% 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ставка дисконта, при которой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PI=1).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ЧИСТАЯ ПРИВЕДЕННАЯ СТОИМОСТЬ (ЧПС)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стоимость будущих денежных потоков, приведенная к настоящему времени методом дисконтирования минус начальные вложения в проект.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ИНДЕКС ПРИБЫЛЬНОСТИ (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PI)</a:t>
          </a:r>
          <a:r>
            <a:rPr lang="en-US" cap="none" sz="1200" b="0" i="0" u="none" baseline="0">
              <a:solidFill>
                <a:srgbClr val="000000"/>
              </a:solidFill>
              <a:latin typeface="Aria Cyr"/>
              <a:ea typeface="Aria Cyr"/>
              <a:cs typeface="Aria Cyr"/>
            </a:rPr>
            <a:t> -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отношение приведенной стоимости будущих денежных потоков проекта к начальным вложениям в проект.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6886575"/>
        <a:ext cx="824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31</xdr:row>
      <xdr:rowOff>0</xdr:rowOff>
    </xdr:from>
    <xdr:to>
      <xdr:col>10</xdr:col>
      <xdr:colOff>676275</xdr:colOff>
      <xdr:row>31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0277475" y="5800725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1</xdr:col>
      <xdr:colOff>723900</xdr:colOff>
      <xdr:row>1</xdr:row>
      <xdr:rowOff>9525</xdr:rowOff>
    </xdr:from>
    <xdr:to>
      <xdr:col>7</xdr:col>
      <xdr:colOff>971550</xdr:colOff>
      <xdr:row>1</xdr:row>
      <xdr:rowOff>9525</xdr:rowOff>
    </xdr:to>
    <xdr:sp>
      <xdr:nvSpPr>
        <xdr:cNvPr id="4" name="Line 4"/>
        <xdr:cNvSpPr>
          <a:spLocks/>
        </xdr:cNvSpPr>
      </xdr:nvSpPr>
      <xdr:spPr>
        <a:xfrm>
          <a:off x="2266950" y="266700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7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28625" y="371475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0.94975</cdr:y>
    </cdr:from>
    <cdr:to>
      <cdr:x>0.06025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5162550"/>
          <a:ext cx="1524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,,</a:t>
          </a:r>
        </a:p>
      </cdr:txBody>
    </cdr:sp>
  </cdr:relSizeAnchor>
  <cdr:relSizeAnchor xmlns:cdr="http://schemas.openxmlformats.org/drawingml/2006/chartDrawing">
    <cdr:from>
      <cdr:x>0.58125</cdr:x>
      <cdr:y>0.46325</cdr:y>
    </cdr:from>
    <cdr:to>
      <cdr:x>0.58125</cdr:x>
      <cdr:y>0.78325</cdr:y>
    </cdr:to>
    <cdr:sp>
      <cdr:nvSpPr>
        <cdr:cNvPr id="2" name="Line 4"/>
        <cdr:cNvSpPr>
          <a:spLocks/>
        </cdr:cNvSpPr>
      </cdr:nvSpPr>
      <cdr:spPr>
        <a:xfrm flipH="1">
          <a:off x="7981950" y="2514600"/>
          <a:ext cx="0" cy="17430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0.56425</cdr:x>
      <cdr:y>0.80375</cdr:y>
    </cdr:from>
    <cdr:to>
      <cdr:x>0.61375</cdr:x>
      <cdr:y>0.86325</cdr:y>
    </cdr:to>
    <cdr:sp>
      <cdr:nvSpPr>
        <cdr:cNvPr id="3" name="Текст 17"/>
        <cdr:cNvSpPr txBox="1">
          <a:spLocks noChangeArrowheads="1"/>
        </cdr:cNvSpPr>
      </cdr:nvSpPr>
      <cdr:spPr>
        <a:xfrm>
          <a:off x="7743825" y="4362450"/>
          <a:ext cx="67627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3,2</a:t>
          </a:r>
        </a:p>
      </cdr:txBody>
    </cdr:sp>
  </cdr:relSizeAnchor>
  <cdr:relSizeAnchor xmlns:cdr="http://schemas.openxmlformats.org/drawingml/2006/chartDrawing">
    <cdr:from>
      <cdr:x>0.905</cdr:x>
      <cdr:y>0.2875</cdr:y>
    </cdr:from>
    <cdr:to>
      <cdr:x>0.905</cdr:x>
      <cdr:y>0.78325</cdr:y>
    </cdr:to>
    <cdr:sp>
      <cdr:nvSpPr>
        <cdr:cNvPr id="4" name="Line 6"/>
        <cdr:cNvSpPr>
          <a:spLocks/>
        </cdr:cNvSpPr>
      </cdr:nvSpPr>
      <cdr:spPr>
        <a:xfrm>
          <a:off x="12430125" y="1562100"/>
          <a:ext cx="0" cy="26955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0.387</cdr:y>
    </cdr:from>
    <cdr:to>
      <cdr:x>0.727</cdr:x>
      <cdr:y>0.78325</cdr:y>
    </cdr:to>
    <cdr:sp>
      <cdr:nvSpPr>
        <cdr:cNvPr id="5" name="Line 7"/>
        <cdr:cNvSpPr>
          <a:spLocks/>
        </cdr:cNvSpPr>
      </cdr:nvSpPr>
      <cdr:spPr>
        <a:xfrm flipH="1">
          <a:off x="9982200" y="2095500"/>
          <a:ext cx="0" cy="2152650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0.502</cdr:y>
    </cdr:from>
    <cdr:to>
      <cdr:x>0.54725</cdr:x>
      <cdr:y>0.78325</cdr:y>
    </cdr:to>
    <cdr:sp>
      <cdr:nvSpPr>
        <cdr:cNvPr id="6" name="Line 8"/>
        <cdr:cNvSpPr>
          <a:spLocks/>
        </cdr:cNvSpPr>
      </cdr:nvSpPr>
      <cdr:spPr>
        <a:xfrm flipH="1">
          <a:off x="7515225" y="2724150"/>
          <a:ext cx="0" cy="153352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0.3675</cdr:x>
      <cdr:y>0.64875</cdr:y>
    </cdr:from>
    <cdr:to>
      <cdr:x>0.3675</cdr:x>
      <cdr:y>0.78475</cdr:y>
    </cdr:to>
    <cdr:sp>
      <cdr:nvSpPr>
        <cdr:cNvPr id="7" name="Line 9"/>
        <cdr:cNvSpPr>
          <a:spLocks/>
        </cdr:cNvSpPr>
      </cdr:nvSpPr>
      <cdr:spPr>
        <a:xfrm flipH="1">
          <a:off x="5038725" y="3524250"/>
          <a:ext cx="0" cy="742950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0.823</cdr:x>
      <cdr:y>0.5035</cdr:y>
    </cdr:from>
    <cdr:to>
      <cdr:x>0.975</cdr:x>
      <cdr:y>0.5395</cdr:y>
    </cdr:to>
    <cdr:sp>
      <cdr:nvSpPr>
        <cdr:cNvPr id="8" name="Текст 17"/>
        <cdr:cNvSpPr txBox="1">
          <a:spLocks noChangeArrowheads="1"/>
        </cdr:cNvSpPr>
      </cdr:nvSpPr>
      <cdr:spPr>
        <a:xfrm>
          <a:off x="11296650" y="2733675"/>
          <a:ext cx="20859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Умовно-постійнні затрати</a:t>
          </a:r>
        </a:p>
      </cdr:txBody>
    </cdr:sp>
  </cdr:relSizeAnchor>
  <cdr:relSizeAnchor xmlns:cdr="http://schemas.openxmlformats.org/drawingml/2006/chartDrawing">
    <cdr:from>
      <cdr:x>0.5975</cdr:x>
      <cdr:y>0.6225</cdr:y>
    </cdr:from>
    <cdr:to>
      <cdr:x>0.807</cdr:x>
      <cdr:y>0.65825</cdr:y>
    </cdr:to>
    <cdr:sp>
      <cdr:nvSpPr>
        <cdr:cNvPr id="9" name="Текст 17"/>
        <cdr:cNvSpPr txBox="1">
          <a:spLocks noChangeArrowheads="1"/>
        </cdr:cNvSpPr>
      </cdr:nvSpPr>
      <cdr:spPr>
        <a:xfrm>
          <a:off x="8201025" y="3381375"/>
          <a:ext cx="28765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Точка беззбитковості РВР=3,2 років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7</xdr:col>
      <xdr:colOff>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3276600"/>
        <a:ext cx="137350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30</xdr:row>
      <xdr:rowOff>142875</xdr:rowOff>
    </xdr:from>
    <xdr:to>
      <xdr:col>7</xdr:col>
      <xdr:colOff>0</xdr:colOff>
      <xdr:row>33</xdr:row>
      <xdr:rowOff>57150</xdr:rowOff>
    </xdr:to>
    <xdr:sp>
      <xdr:nvSpPr>
        <xdr:cNvPr id="2" name="Текст 14"/>
        <xdr:cNvSpPr txBox="1">
          <a:spLocks noChangeArrowheads="1"/>
        </xdr:cNvSpPr>
      </xdr:nvSpPr>
      <xdr:spPr>
        <a:xfrm>
          <a:off x="13735050" y="58483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Точка беззбитковості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PBP = 8,0 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
</a:t>
          </a:r>
        </a:p>
      </xdr:txBody>
    </xdr:sp>
    <xdr:clientData/>
  </xdr:twoCellAnchor>
  <xdr:twoCellAnchor>
    <xdr:from>
      <xdr:col>4</xdr:col>
      <xdr:colOff>581025</xdr:colOff>
      <xdr:row>32</xdr:row>
      <xdr:rowOff>104775</xdr:rowOff>
    </xdr:from>
    <xdr:to>
      <xdr:col>4</xdr:col>
      <xdr:colOff>990600</xdr:colOff>
      <xdr:row>38</xdr:row>
      <xdr:rowOff>85725</xdr:rowOff>
    </xdr:to>
    <xdr:sp>
      <xdr:nvSpPr>
        <xdr:cNvPr id="3" name="Line 3"/>
        <xdr:cNvSpPr>
          <a:spLocks/>
        </xdr:cNvSpPr>
      </xdr:nvSpPr>
      <xdr:spPr>
        <a:xfrm flipH="1" flipV="1">
          <a:off x="7972425" y="6134100"/>
          <a:ext cx="409575" cy="95250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1666875</xdr:colOff>
      <xdr:row>31</xdr:row>
      <xdr:rowOff>9525</xdr:rowOff>
    </xdr:from>
    <xdr:ext cx="1828800" cy="238125"/>
    <xdr:sp>
      <xdr:nvSpPr>
        <xdr:cNvPr id="4" name="Текст 17"/>
        <xdr:cNvSpPr txBox="1">
          <a:spLocks noChangeArrowheads="1"/>
        </xdr:cNvSpPr>
      </xdr:nvSpPr>
      <xdr:spPr>
        <a:xfrm>
          <a:off x="11172825" y="5876925"/>
          <a:ext cx="1828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Умовно-змінні затрати</a:t>
          </a:r>
        </a:p>
      </xdr:txBody>
    </xdr:sp>
    <xdr:clientData/>
  </xdr:oneCellAnchor>
  <xdr:twoCellAnchor>
    <xdr:from>
      <xdr:col>6</xdr:col>
      <xdr:colOff>123825</xdr:colOff>
      <xdr:row>26</xdr:row>
      <xdr:rowOff>85725</xdr:rowOff>
    </xdr:from>
    <xdr:to>
      <xdr:col>6</xdr:col>
      <xdr:colOff>466725</xdr:colOff>
      <xdr:row>31</xdr:row>
      <xdr:rowOff>38100</xdr:rowOff>
    </xdr:to>
    <xdr:sp>
      <xdr:nvSpPr>
        <xdr:cNvPr id="5" name="Line 7"/>
        <xdr:cNvSpPr>
          <a:spLocks/>
        </xdr:cNvSpPr>
      </xdr:nvSpPr>
      <xdr:spPr>
        <a:xfrm flipH="1" flipV="1">
          <a:off x="11744325" y="5143500"/>
          <a:ext cx="352425" cy="76200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2495550</xdr:colOff>
      <xdr:row>33</xdr:row>
      <xdr:rowOff>123825</xdr:rowOff>
    </xdr:from>
    <xdr:to>
      <xdr:col>2</xdr:col>
      <xdr:colOff>704850</xdr:colOff>
      <xdr:row>39</xdr:row>
      <xdr:rowOff>28575</xdr:rowOff>
    </xdr:to>
    <xdr:sp>
      <xdr:nvSpPr>
        <xdr:cNvPr id="6" name="Line 9"/>
        <xdr:cNvSpPr>
          <a:spLocks/>
        </xdr:cNvSpPr>
      </xdr:nvSpPr>
      <xdr:spPr>
        <a:xfrm>
          <a:off x="2924175" y="6315075"/>
          <a:ext cx="942975" cy="87630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1800225</xdr:colOff>
      <xdr:row>19</xdr:row>
      <xdr:rowOff>47625</xdr:rowOff>
    </xdr:from>
    <xdr:to>
      <xdr:col>6</xdr:col>
      <xdr:colOff>0</xdr:colOff>
      <xdr:row>23</xdr:row>
      <xdr:rowOff>114300</xdr:rowOff>
    </xdr:to>
    <xdr:sp>
      <xdr:nvSpPr>
        <xdr:cNvPr id="7" name="Line 14"/>
        <xdr:cNvSpPr>
          <a:spLocks/>
        </xdr:cNvSpPr>
      </xdr:nvSpPr>
      <xdr:spPr>
        <a:xfrm>
          <a:off x="11306175" y="3971925"/>
          <a:ext cx="314325" cy="714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1771650</xdr:colOff>
      <xdr:row>40</xdr:row>
      <xdr:rowOff>85725</xdr:rowOff>
    </xdr:from>
    <xdr:to>
      <xdr:col>6</xdr:col>
      <xdr:colOff>742950</xdr:colOff>
      <xdr:row>40</xdr:row>
      <xdr:rowOff>85725</xdr:rowOff>
    </xdr:to>
    <xdr:sp>
      <xdr:nvSpPr>
        <xdr:cNvPr id="8" name="Line 15"/>
        <xdr:cNvSpPr>
          <a:spLocks/>
        </xdr:cNvSpPr>
      </xdr:nvSpPr>
      <xdr:spPr>
        <a:xfrm>
          <a:off x="2200275" y="7410450"/>
          <a:ext cx="10163175" cy="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37</xdr:row>
      <xdr:rowOff>76200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13735050" y="66770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Умовно-постійні затрати</a:t>
          </a:r>
        </a:p>
      </xdr:txBody>
    </xdr:sp>
    <xdr:clientData/>
  </xdr:twoCellAnchor>
  <xdr:twoCellAnchor>
    <xdr:from>
      <xdr:col>4</xdr:col>
      <xdr:colOff>1428750</xdr:colOff>
      <xdr:row>22</xdr:row>
      <xdr:rowOff>104775</xdr:rowOff>
    </xdr:from>
    <xdr:to>
      <xdr:col>4</xdr:col>
      <xdr:colOff>1952625</xdr:colOff>
      <xdr:row>27</xdr:row>
      <xdr:rowOff>123825</xdr:rowOff>
    </xdr:to>
    <xdr:sp>
      <xdr:nvSpPr>
        <xdr:cNvPr id="10" name="Line 17"/>
        <xdr:cNvSpPr>
          <a:spLocks/>
        </xdr:cNvSpPr>
      </xdr:nvSpPr>
      <xdr:spPr>
        <a:xfrm>
          <a:off x="8820150" y="4514850"/>
          <a:ext cx="523875" cy="828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190500</xdr:colOff>
      <xdr:row>34</xdr:row>
      <xdr:rowOff>142875</xdr:rowOff>
    </xdr:from>
    <xdr:to>
      <xdr:col>6</xdr:col>
      <xdr:colOff>533400</xdr:colOff>
      <xdr:row>40</xdr:row>
      <xdr:rowOff>38100</xdr:rowOff>
    </xdr:to>
    <xdr:sp>
      <xdr:nvSpPr>
        <xdr:cNvPr id="11" name="Line 18"/>
        <xdr:cNvSpPr>
          <a:spLocks/>
        </xdr:cNvSpPr>
      </xdr:nvSpPr>
      <xdr:spPr>
        <a:xfrm flipH="1">
          <a:off x="11811000" y="6496050"/>
          <a:ext cx="352425" cy="8667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752475</xdr:colOff>
      <xdr:row>18</xdr:row>
      <xdr:rowOff>47625</xdr:rowOff>
    </xdr:from>
    <xdr:ext cx="1266825" cy="238125"/>
    <xdr:sp>
      <xdr:nvSpPr>
        <xdr:cNvPr id="12" name="Text Box 13"/>
        <xdr:cNvSpPr txBox="1">
          <a:spLocks noChangeArrowheads="1"/>
        </xdr:cNvSpPr>
      </xdr:nvSpPr>
      <xdr:spPr>
        <a:xfrm>
          <a:off x="10258425" y="3771900"/>
          <a:ext cx="1266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Зона прибутків</a:t>
          </a:r>
        </a:p>
      </xdr:txBody>
    </xdr:sp>
    <xdr:clientData/>
  </xdr:oneCellAnchor>
  <xdr:oneCellAnchor>
    <xdr:from>
      <xdr:col>3</xdr:col>
      <xdr:colOff>1771650</xdr:colOff>
      <xdr:row>21</xdr:row>
      <xdr:rowOff>66675</xdr:rowOff>
    </xdr:from>
    <xdr:ext cx="1790700" cy="238125"/>
    <xdr:sp>
      <xdr:nvSpPr>
        <xdr:cNvPr id="13" name="Текст 16"/>
        <xdr:cNvSpPr txBox="1">
          <a:spLocks noChangeArrowheads="1"/>
        </xdr:cNvSpPr>
      </xdr:nvSpPr>
      <xdr:spPr>
        <a:xfrm>
          <a:off x="7048500" y="4314825"/>
          <a:ext cx="179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Виручка від реалізації</a:t>
          </a:r>
        </a:p>
      </xdr:txBody>
    </xdr:sp>
    <xdr:clientData/>
  </xdr:oneCellAnchor>
  <xdr:oneCellAnchor>
    <xdr:from>
      <xdr:col>1</xdr:col>
      <xdr:colOff>1514475</xdr:colOff>
      <xdr:row>32</xdr:row>
      <xdr:rowOff>114300</xdr:rowOff>
    </xdr:from>
    <xdr:ext cx="1038225" cy="228600"/>
    <xdr:sp>
      <xdr:nvSpPr>
        <xdr:cNvPr id="14" name="Текст 20"/>
        <xdr:cNvSpPr txBox="1">
          <a:spLocks noChangeArrowheads="1"/>
        </xdr:cNvSpPr>
      </xdr:nvSpPr>
      <xdr:spPr>
        <a:xfrm>
          <a:off x="1943100" y="6143625"/>
          <a:ext cx="1038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Зона збитків</a:t>
          </a:r>
        </a:p>
      </xdr:txBody>
    </xdr:sp>
    <xdr:clientData/>
  </xdr:oneCellAnchor>
  <xdr:twoCellAnchor>
    <xdr:from>
      <xdr:col>4</xdr:col>
      <xdr:colOff>266700</xdr:colOff>
      <xdr:row>31</xdr:row>
      <xdr:rowOff>0</xdr:rowOff>
    </xdr:from>
    <xdr:to>
      <xdr:col>4</xdr:col>
      <xdr:colOff>504825</xdr:colOff>
      <xdr:row>32</xdr:row>
      <xdr:rowOff>47625</xdr:rowOff>
    </xdr:to>
    <xdr:sp>
      <xdr:nvSpPr>
        <xdr:cNvPr id="15" name="Oval 19"/>
        <xdr:cNvSpPr>
          <a:spLocks/>
        </xdr:cNvSpPr>
      </xdr:nvSpPr>
      <xdr:spPr>
        <a:xfrm>
          <a:off x="7658100" y="5867400"/>
          <a:ext cx="238125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1704975"/>
        <a:ext cx="83820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95250</xdr:rowOff>
    </xdr:from>
    <xdr:to>
      <xdr:col>7</xdr:col>
      <xdr:colOff>828675</xdr:colOff>
      <xdr:row>51</xdr:row>
      <xdr:rowOff>0</xdr:rowOff>
    </xdr:to>
    <xdr:sp>
      <xdr:nvSpPr>
        <xdr:cNvPr id="2" name="Текст 6"/>
        <xdr:cNvSpPr txBox="1">
          <a:spLocks noChangeArrowheads="1"/>
        </xdr:cNvSpPr>
      </xdr:nvSpPr>
      <xdr:spPr>
        <a:xfrm>
          <a:off x="0" y="7877175"/>
          <a:ext cx="8305800" cy="2590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На  графіках  дана  залежність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NPV   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чистої  приведеної  вартості)   від  ймовірних  коливань дисконтної (рис. 2.18.1)  і процентної (рис. 2.18.2) ставок.  Для побудови графіків використана математична модель, яка лежить в основі розрахунку грошових потоків за час дії кредитної угоди та  відповідна комп'ютерна програма.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При зміні  значень процентної ставки в інтервалі  від  [18%, 30%]  з  кроком  2%  та  дисконтної  в інтервалі [6%, 18%] з кроком 2%,  за  допомогою  програми  розраховувалися значення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NPV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та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 -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індексу прибутковості проекту.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ЧИСТА ПРИВЕДЕНА ВАРТІСТЬ (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NPV)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вартість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майбутніх   грошових  потоків, приведена до теперішнього часу методом дисконтування за вирахуванням початкових вкладень у проект.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Ін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ДЕКС ПРИБУТКОВОСТІ (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PI)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відношення приведеної вартості майбутніх грошових потоків проекту до початкових інвестицій у проект. Якщо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 &gt; 1 -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 прибутковий.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10</xdr:col>
      <xdr:colOff>142875</xdr:colOff>
      <xdr:row>8</xdr:row>
      <xdr:rowOff>0</xdr:rowOff>
    </xdr:from>
    <xdr:to>
      <xdr:col>10</xdr:col>
      <xdr:colOff>904875</xdr:colOff>
      <xdr:row>8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1049000" y="1895475"/>
          <a:ext cx="762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0</xdr:col>
      <xdr:colOff>0</xdr:colOff>
      <xdr:row>74</xdr:row>
      <xdr:rowOff>76200</xdr:rowOff>
    </xdr:from>
    <xdr:to>
      <xdr:col>7</xdr:col>
      <xdr:colOff>885825</xdr:colOff>
      <xdr:row>92</xdr:row>
      <xdr:rowOff>76200</xdr:rowOff>
    </xdr:to>
    <xdr:graphicFrame>
      <xdr:nvGraphicFramePr>
        <xdr:cNvPr id="4" name="Chart 5"/>
        <xdr:cNvGraphicFramePr/>
      </xdr:nvGraphicFramePr>
      <xdr:xfrm>
        <a:off x="0" y="15754350"/>
        <a:ext cx="83629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142875</xdr:colOff>
      <xdr:row>72</xdr:row>
      <xdr:rowOff>0</xdr:rowOff>
    </xdr:from>
    <xdr:to>
      <xdr:col>10</xdr:col>
      <xdr:colOff>676275</xdr:colOff>
      <xdr:row>72</xdr:row>
      <xdr:rowOff>0</xdr:rowOff>
    </xdr:to>
    <xdr:sp>
      <xdr:nvSpPr>
        <xdr:cNvPr id="5" name="Текст 1"/>
        <xdr:cNvSpPr txBox="1">
          <a:spLocks noChangeArrowheads="1"/>
        </xdr:cNvSpPr>
      </xdr:nvSpPr>
      <xdr:spPr>
        <a:xfrm>
          <a:off x="11049000" y="1501140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 editAs="oneCell">
    <xdr:from>
      <xdr:col>9</xdr:col>
      <xdr:colOff>76200</xdr:colOff>
      <xdr:row>5</xdr:row>
      <xdr:rowOff>180975</xdr:rowOff>
    </xdr:from>
    <xdr:to>
      <xdr:col>9</xdr:col>
      <xdr:colOff>1771650</xdr:colOff>
      <xdr:row>11</xdr:row>
      <xdr:rowOff>66675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112395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9525</xdr:rowOff>
    </xdr:from>
    <xdr:to>
      <xdr:col>7</xdr:col>
      <xdr:colOff>857250</xdr:colOff>
      <xdr:row>65</xdr:row>
      <xdr:rowOff>114300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0" y="11668125"/>
          <a:ext cx="833437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В таблиці 2.18.3 подані результати дослідження ефективності проекту залежно від можливих коливань валових доходів, отримуваного  за рахунок виробничої діяльності підприємства.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Розглянемо майже неймовірну ситуацію: нехай ціни на поліграфічні послуги замість прийнятого у бізнес-плані щорічного збільшення на 5% будуть плавно зменшуватися. Де ж нижня межа цінового демпінгу? Для дослідження такої ситуції моделюється пропорційне зниження цін на основні поліграфічні послуги з кроком -10% і розраховуються основні фінансово-економічні показники проекту, а також рівень мінімально-допустимих цін на продукцію.</a:t>
          </a:r>
        </a:p>
      </xdr:txBody>
    </xdr:sp>
    <xdr:clientData/>
  </xdr:twoCellAnchor>
  <xdr:twoCellAnchor editAs="oneCell">
    <xdr:from>
      <xdr:col>9</xdr:col>
      <xdr:colOff>381000</xdr:colOff>
      <xdr:row>70</xdr:row>
      <xdr:rowOff>9525</xdr:rowOff>
    </xdr:from>
    <xdr:to>
      <xdr:col>9</xdr:col>
      <xdr:colOff>2076450</xdr:colOff>
      <xdr:row>74</xdr:row>
      <xdr:rowOff>76200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14354175"/>
          <a:ext cx="1695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13"/>
        <xdr:cNvGraphicFramePr/>
      </xdr:nvGraphicFramePr>
      <xdr:xfrm>
        <a:off x="0" y="5410200"/>
        <a:ext cx="838200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22</xdr:row>
      <xdr:rowOff>0</xdr:rowOff>
    </xdr:from>
    <xdr:to>
      <xdr:col>3</xdr:col>
      <xdr:colOff>904875</xdr:colOff>
      <xdr:row>22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057650" y="5743575"/>
          <a:ext cx="762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0"/>
          <a:ext cx="7362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38</xdr:row>
      <xdr:rowOff>0</xdr:rowOff>
    </xdr:from>
    <xdr:to>
      <xdr:col>3</xdr:col>
      <xdr:colOff>904875</xdr:colOff>
      <xdr:row>38</xdr:row>
      <xdr:rowOff>0</xdr:rowOff>
    </xdr:to>
    <xdr:sp>
      <xdr:nvSpPr>
        <xdr:cNvPr id="4" name="Текст 9"/>
        <xdr:cNvSpPr txBox="1">
          <a:spLocks noChangeArrowheads="1"/>
        </xdr:cNvSpPr>
      </xdr:nvSpPr>
      <xdr:spPr>
        <a:xfrm>
          <a:off x="4095750" y="1014412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Текст 11"/>
        <xdr:cNvSpPr txBox="1">
          <a:spLocks noChangeArrowheads="1"/>
        </xdr:cNvSpPr>
      </xdr:nvSpPr>
      <xdr:spPr>
        <a:xfrm>
          <a:off x="7362825" y="390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Текст 12"/>
        <xdr:cNvSpPr txBox="1">
          <a:spLocks noChangeArrowheads="1"/>
        </xdr:cNvSpPr>
      </xdr:nvSpPr>
      <xdr:spPr>
        <a:xfrm>
          <a:off x="7362825" y="390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7" name="Текст 13"/>
        <xdr:cNvSpPr txBox="1">
          <a:spLocks noChangeArrowheads="1"/>
        </xdr:cNvSpPr>
      </xdr:nvSpPr>
      <xdr:spPr>
        <a:xfrm>
          <a:off x="7362825" y="619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Текст 14"/>
        <xdr:cNvSpPr txBox="1">
          <a:spLocks noChangeArrowheads="1"/>
        </xdr:cNvSpPr>
      </xdr:nvSpPr>
      <xdr:spPr>
        <a:xfrm>
          <a:off x="7362825" y="619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" name="Текст 15"/>
        <xdr:cNvSpPr txBox="1">
          <a:spLocks noChangeArrowheads="1"/>
        </xdr:cNvSpPr>
      </xdr:nvSpPr>
      <xdr:spPr>
        <a:xfrm>
          <a:off x="7362825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" name="Текст 16"/>
        <xdr:cNvSpPr txBox="1">
          <a:spLocks noChangeArrowheads="1"/>
        </xdr:cNvSpPr>
      </xdr:nvSpPr>
      <xdr:spPr>
        <a:xfrm>
          <a:off x="7362825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3</xdr:col>
      <xdr:colOff>180975</xdr:colOff>
      <xdr:row>38</xdr:row>
      <xdr:rowOff>0</xdr:rowOff>
    </xdr:from>
    <xdr:to>
      <xdr:col>3</xdr:col>
      <xdr:colOff>904875</xdr:colOff>
      <xdr:row>38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095750" y="1014412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лет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658225" y="1971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1</xdr:col>
      <xdr:colOff>1085850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1447800" y="666750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" name="Oval 1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" name="Oval 6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" name="Oval 6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" name="Oval 6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" name="Oval 6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" name="Oval 6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7" name="Oval 6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8" name="Oval 6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9" name="Oval 6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0" name="Oval 7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1" name="Oval 7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2" name="Oval 7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3" name="Oval 7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4" name="Oval 7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5" name="Oval 7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6" name="Oval 7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7" name="Oval 7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8" name="Oval 7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9" name="Oval 7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0" name="Oval 8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1" name="Oval 8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2" name="Oval 8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3" name="Oval 8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4" name="Oval 8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5" name="Oval 8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6" name="Oval 8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7" name="Oval 8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8" name="Oval 8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9" name="Oval 8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0" name="Oval 9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1" name="Oval 9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2" name="Oval 9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3" name="Oval 9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4" name="Oval 9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5" name="Oval 9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6" name="Oval 9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7" name="Oval 9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8" name="Oval 9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9" name="Oval 9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0" name="Oval 10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1" name="Oval 10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2" name="Oval 10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3" name="Oval 10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4" name="Oval 10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5" name="Oval 10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6" name="Oval 10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7" name="Oval 10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8" name="Oval 10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9" name="Oval 10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0" name="Oval 11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1" name="Oval 11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2" name="Oval 11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3" name="Oval 11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4" name="Oval 11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5" name="Oval 11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6" name="Oval 11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7" name="Oval 11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8" name="Oval 11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9" name="Oval 11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0" name="Oval 12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1" name="Oval 12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2" name="Oval 12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3" name="Oval 12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4" name="Oval 12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5" name="Oval 12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6" name="Oval 12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11</xdr:row>
      <xdr:rowOff>142875</xdr:rowOff>
    </xdr:from>
    <xdr:to>
      <xdr:col>7</xdr:col>
      <xdr:colOff>533400</xdr:colOff>
      <xdr:row>34</xdr:row>
      <xdr:rowOff>95250</xdr:rowOff>
    </xdr:to>
    <xdr:graphicFrame>
      <xdr:nvGraphicFramePr>
        <xdr:cNvPr id="67" name="Chart 250"/>
        <xdr:cNvGraphicFramePr/>
      </xdr:nvGraphicFramePr>
      <xdr:xfrm>
        <a:off x="95250" y="3267075"/>
        <a:ext cx="68484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1</xdr:row>
      <xdr:rowOff>266700</xdr:rowOff>
    </xdr:from>
    <xdr:to>
      <xdr:col>7</xdr:col>
      <xdr:colOff>1028700</xdr:colOff>
      <xdr:row>1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819275" y="495300"/>
          <a:ext cx="1031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5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0" y="3448050"/>
        <a:ext cx="11668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</xdr:col>
      <xdr:colOff>3114675</xdr:colOff>
      <xdr:row>33</xdr:row>
      <xdr:rowOff>152400</xdr:rowOff>
    </xdr:to>
    <xdr:graphicFrame>
      <xdr:nvGraphicFramePr>
        <xdr:cNvPr id="1" name="Chart 5"/>
        <xdr:cNvGraphicFramePr/>
      </xdr:nvGraphicFramePr>
      <xdr:xfrm>
        <a:off x="0" y="2905125"/>
        <a:ext cx="69246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152400</xdr:rowOff>
    </xdr:from>
    <xdr:to>
      <xdr:col>4</xdr:col>
      <xdr:colOff>0</xdr:colOff>
      <xdr:row>27</xdr:row>
      <xdr:rowOff>0</xdr:rowOff>
    </xdr:to>
    <xdr:graphicFrame>
      <xdr:nvGraphicFramePr>
        <xdr:cNvPr id="2" name="Chart 6"/>
        <xdr:cNvGraphicFramePr/>
      </xdr:nvGraphicFramePr>
      <xdr:xfrm>
        <a:off x="6943725" y="6029325"/>
        <a:ext cx="0" cy="20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0</xdr:row>
      <xdr:rowOff>190500</xdr:rowOff>
    </xdr:from>
    <xdr:to>
      <xdr:col>4</xdr:col>
      <xdr:colOff>0</xdr:colOff>
      <xdr:row>0</xdr:row>
      <xdr:rowOff>190500</xdr:rowOff>
    </xdr:to>
    <xdr:sp>
      <xdr:nvSpPr>
        <xdr:cNvPr id="3" name="Line 11"/>
        <xdr:cNvSpPr>
          <a:spLocks/>
        </xdr:cNvSpPr>
      </xdr:nvSpPr>
      <xdr:spPr>
        <a:xfrm>
          <a:off x="447675" y="19050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5</xdr:col>
      <xdr:colOff>0</xdr:colOff>
      <xdr:row>45</xdr:row>
      <xdr:rowOff>85725</xdr:rowOff>
    </xdr:to>
    <xdr:graphicFrame>
      <xdr:nvGraphicFramePr>
        <xdr:cNvPr id="1" name="Chart 2"/>
        <xdr:cNvGraphicFramePr/>
      </xdr:nvGraphicFramePr>
      <xdr:xfrm>
        <a:off x="0" y="2990850"/>
        <a:ext cx="69913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1</xdr:row>
      <xdr:rowOff>266700</xdr:rowOff>
    </xdr:from>
    <xdr:to>
      <xdr:col>4</xdr:col>
      <xdr:colOff>1076325</xdr:colOff>
      <xdr:row>1</xdr:row>
      <xdr:rowOff>266700</xdr:rowOff>
    </xdr:to>
    <xdr:sp>
      <xdr:nvSpPr>
        <xdr:cNvPr id="2" name="Line 3"/>
        <xdr:cNvSpPr>
          <a:spLocks/>
        </xdr:cNvSpPr>
      </xdr:nvSpPr>
      <xdr:spPr>
        <a:xfrm>
          <a:off x="1009650" y="428625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523875</xdr:rowOff>
    </xdr:from>
    <xdr:to>
      <xdr:col>9</xdr:col>
      <xdr:colOff>1057275</xdr:colOff>
      <xdr:row>1</xdr:row>
      <xdr:rowOff>523875</xdr:rowOff>
    </xdr:to>
    <xdr:sp>
      <xdr:nvSpPr>
        <xdr:cNvPr id="1" name="Line 2"/>
        <xdr:cNvSpPr>
          <a:spLocks/>
        </xdr:cNvSpPr>
      </xdr:nvSpPr>
      <xdr:spPr>
        <a:xfrm>
          <a:off x="1295400" y="904875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B36" sqref="B36"/>
    </sheetView>
  </sheetViews>
  <sheetFormatPr defaultColWidth="8.875" defaultRowHeight="12.75"/>
  <cols>
    <col min="1" max="1" width="4.25390625" style="1" customWidth="1"/>
    <col min="2" max="2" width="35.375" style="1" customWidth="1"/>
    <col min="3" max="3" width="0.74609375" style="2" customWidth="1"/>
    <col min="4" max="6" width="4.25390625" style="1" customWidth="1"/>
    <col min="7" max="7" width="0.74609375" style="2" customWidth="1"/>
    <col min="8" max="10" width="4.25390625" style="1" customWidth="1"/>
    <col min="11" max="11" width="0.37109375" style="2" customWidth="1"/>
    <col min="12" max="12" width="4.875" style="1" customWidth="1"/>
    <col min="13" max="14" width="4.25390625" style="1" customWidth="1"/>
    <col min="15" max="15" width="0.37109375" style="2" customWidth="1"/>
    <col min="16" max="18" width="4.25390625" style="1" customWidth="1"/>
    <col min="19" max="19" width="0.37109375" style="2" customWidth="1"/>
    <col min="20" max="20" width="9.625" style="2" customWidth="1"/>
    <col min="21" max="21" width="9.25390625" style="2" customWidth="1"/>
    <col min="22" max="22" width="10.125" style="2" customWidth="1"/>
    <col min="23" max="23" width="13.625" style="1" customWidth="1"/>
    <col min="24" max="25" width="12.875" style="1" customWidth="1"/>
    <col min="26" max="26" width="19.375" style="1" customWidth="1"/>
    <col min="27" max="16384" width="8.875" style="1" customWidth="1"/>
  </cols>
  <sheetData>
    <row r="1" spans="1:26" s="70" customFormat="1" ht="23.25">
      <c r="A1" s="1122" t="s">
        <v>823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L1" s="1122"/>
      <c r="M1" s="1122"/>
      <c r="N1" s="1122"/>
      <c r="O1" s="1122"/>
      <c r="P1" s="1122"/>
      <c r="Q1" s="1122"/>
      <c r="R1" s="1122"/>
      <c r="S1" s="1122"/>
      <c r="T1" s="1122"/>
      <c r="U1" s="1122"/>
      <c r="V1" s="1122"/>
      <c r="W1" s="1122"/>
      <c r="X1" s="1122"/>
      <c r="Y1" s="1122"/>
      <c r="Z1" s="723"/>
    </row>
    <row r="2" spans="1:26" s="70" customFormat="1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Z2" s="723"/>
    </row>
    <row r="3" spans="1:26" s="70" customFormat="1" ht="15">
      <c r="A3" s="72" t="s">
        <v>437</v>
      </c>
      <c r="B3" s="1113" t="s">
        <v>474</v>
      </c>
      <c r="C3" s="73"/>
      <c r="D3" s="1110" t="s">
        <v>473</v>
      </c>
      <c r="E3" s="1111"/>
      <c r="F3" s="1111"/>
      <c r="G3" s="1111"/>
      <c r="H3" s="1111"/>
      <c r="I3" s="1111"/>
      <c r="J3" s="1111"/>
      <c r="K3" s="1111"/>
      <c r="L3" s="1111"/>
      <c r="M3" s="1111"/>
      <c r="N3" s="1111"/>
      <c r="O3" s="1111"/>
      <c r="P3" s="1111"/>
      <c r="Q3" s="1111"/>
      <c r="R3" s="1112"/>
      <c r="S3" s="74"/>
      <c r="T3" s="1116" t="s">
        <v>34</v>
      </c>
      <c r="U3" s="1116" t="s">
        <v>7</v>
      </c>
      <c r="V3" s="1116" t="s">
        <v>8</v>
      </c>
      <c r="W3" s="1116" t="s">
        <v>25</v>
      </c>
      <c r="X3" s="1116" t="s">
        <v>26</v>
      </c>
      <c r="Y3" s="1119" t="s">
        <v>35</v>
      </c>
      <c r="Z3" s="723"/>
    </row>
    <row r="4" spans="1:26" s="70" customFormat="1" ht="15" customHeight="1">
      <c r="A4" s="75" t="s">
        <v>438</v>
      </c>
      <c r="B4" s="1114"/>
      <c r="C4" s="73"/>
      <c r="D4" s="1110" t="s">
        <v>471</v>
      </c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2"/>
      <c r="S4" s="74"/>
      <c r="T4" s="1117"/>
      <c r="U4" s="1117"/>
      <c r="V4" s="1117"/>
      <c r="W4" s="1117"/>
      <c r="X4" s="1117"/>
      <c r="Y4" s="1120"/>
      <c r="Z4" s="723"/>
    </row>
    <row r="5" spans="1:26" ht="15">
      <c r="A5" s="51"/>
      <c r="B5" s="1115"/>
      <c r="C5" s="9"/>
      <c r="D5" s="76" t="s">
        <v>517</v>
      </c>
      <c r="E5" s="76" t="s">
        <v>439</v>
      </c>
      <c r="F5" s="77" t="s">
        <v>440</v>
      </c>
      <c r="G5" s="9"/>
      <c r="H5" s="76" t="s">
        <v>441</v>
      </c>
      <c r="I5" s="76" t="s">
        <v>442</v>
      </c>
      <c r="J5" s="77" t="s">
        <v>443</v>
      </c>
      <c r="K5" s="10"/>
      <c r="L5" s="76" t="s">
        <v>444</v>
      </c>
      <c r="M5" s="78" t="s">
        <v>445</v>
      </c>
      <c r="N5" s="77" t="s">
        <v>446</v>
      </c>
      <c r="O5" s="10"/>
      <c r="P5" s="76" t="s">
        <v>447</v>
      </c>
      <c r="Q5" s="78" t="s">
        <v>448</v>
      </c>
      <c r="R5" s="79" t="s">
        <v>449</v>
      </c>
      <c r="S5" s="11"/>
      <c r="T5" s="1118"/>
      <c r="U5" s="1118"/>
      <c r="V5" s="1118"/>
      <c r="W5" s="1118"/>
      <c r="X5" s="1118"/>
      <c r="Y5" s="1121"/>
      <c r="Z5" s="723"/>
    </row>
    <row r="6" spans="1:26" ht="4.5" customHeight="1">
      <c r="A6" s="13"/>
      <c r="B6" s="13"/>
      <c r="C6" s="4"/>
      <c r="D6" s="12"/>
      <c r="E6" s="13"/>
      <c r="F6" s="14"/>
      <c r="G6" s="4"/>
      <c r="H6" s="12"/>
      <c r="I6" s="13"/>
      <c r="J6" s="14"/>
      <c r="K6" s="4"/>
      <c r="L6" s="12"/>
      <c r="M6" s="13"/>
      <c r="N6" s="14"/>
      <c r="O6" s="4"/>
      <c r="P6" s="12"/>
      <c r="Q6" s="13"/>
      <c r="R6" s="14"/>
      <c r="S6" s="4"/>
      <c r="T6" s="14"/>
      <c r="U6" s="4"/>
      <c r="V6" s="14"/>
      <c r="Z6" s="723"/>
    </row>
    <row r="7" spans="1:26" ht="15.75">
      <c r="A7" s="52">
        <v>1</v>
      </c>
      <c r="B7" s="15" t="s">
        <v>465</v>
      </c>
      <c r="C7" s="16"/>
      <c r="D7" s="457">
        <v>31</v>
      </c>
      <c r="E7" s="458">
        <v>28</v>
      </c>
      <c r="F7" s="20"/>
      <c r="G7" s="16"/>
      <c r="H7" s="19"/>
      <c r="I7" s="20"/>
      <c r="J7" s="20"/>
      <c r="K7" s="18"/>
      <c r="L7" s="20"/>
      <c r="M7" s="20"/>
      <c r="N7" s="17"/>
      <c r="O7" s="18"/>
      <c r="P7" s="19"/>
      <c r="Q7" s="20"/>
      <c r="R7" s="17"/>
      <c r="S7" s="18"/>
      <c r="T7" s="1019">
        <v>5000</v>
      </c>
      <c r="U7" s="725">
        <v>5000</v>
      </c>
      <c r="V7" s="1033">
        <v>0</v>
      </c>
      <c r="W7" s="729"/>
      <c r="X7" s="728"/>
      <c r="Y7" s="729"/>
      <c r="Z7" s="723"/>
    </row>
    <row r="8" spans="1:26" ht="4.5" customHeight="1">
      <c r="A8" s="37"/>
      <c r="B8" s="37"/>
      <c r="C8" s="16"/>
      <c r="D8" s="24"/>
      <c r="E8" s="18"/>
      <c r="F8" s="25"/>
      <c r="G8" s="16"/>
      <c r="H8" s="24"/>
      <c r="I8" s="18"/>
      <c r="J8" s="25"/>
      <c r="K8" s="18"/>
      <c r="L8" s="24"/>
      <c r="M8" s="18"/>
      <c r="N8" s="25"/>
      <c r="O8" s="18"/>
      <c r="P8" s="24"/>
      <c r="Q8" s="18"/>
      <c r="R8" s="25"/>
      <c r="S8" s="18"/>
      <c r="T8" s="745"/>
      <c r="U8" s="18"/>
      <c r="V8" s="1034"/>
      <c r="W8" s="729"/>
      <c r="X8" s="728"/>
      <c r="Y8" s="729"/>
      <c r="Z8" s="723"/>
    </row>
    <row r="9" spans="1:26" ht="15.75">
      <c r="A9" s="53">
        <v>2</v>
      </c>
      <c r="B9" s="26" t="s">
        <v>4</v>
      </c>
      <c r="C9" s="16"/>
      <c r="D9" s="20"/>
      <c r="E9" s="20"/>
      <c r="F9" s="458">
        <v>31</v>
      </c>
      <c r="G9" s="16"/>
      <c r="H9" s="19"/>
      <c r="I9" s="20"/>
      <c r="J9" s="20"/>
      <c r="K9" s="18"/>
      <c r="L9" s="19"/>
      <c r="M9" s="19"/>
      <c r="N9" s="19"/>
      <c r="O9" s="18"/>
      <c r="P9" s="19"/>
      <c r="Q9" s="20"/>
      <c r="R9" s="17"/>
      <c r="S9" s="18"/>
      <c r="T9" s="1019">
        <v>1000</v>
      </c>
      <c r="U9" s="725">
        <v>1000</v>
      </c>
      <c r="V9" s="1033">
        <v>0</v>
      </c>
      <c r="W9" s="729"/>
      <c r="X9" s="728"/>
      <c r="Y9" s="729"/>
      <c r="Z9" s="723"/>
    </row>
    <row r="10" spans="1:26" ht="15.75">
      <c r="A10" s="55"/>
      <c r="B10" s="27" t="s">
        <v>466</v>
      </c>
      <c r="C10" s="16"/>
      <c r="D10" s="21"/>
      <c r="E10" s="21"/>
      <c r="F10" s="457">
        <v>31</v>
      </c>
      <c r="G10" s="16"/>
      <c r="H10" s="19"/>
      <c r="I10" s="20"/>
      <c r="J10" s="20"/>
      <c r="K10" s="18"/>
      <c r="L10" s="19"/>
      <c r="M10" s="19"/>
      <c r="N10" s="19"/>
      <c r="O10" s="18"/>
      <c r="P10" s="19"/>
      <c r="Q10" s="20"/>
      <c r="R10" s="17"/>
      <c r="S10" s="18"/>
      <c r="T10" s="1020"/>
      <c r="U10" s="18"/>
      <c r="V10" s="1034"/>
      <c r="W10" s="740"/>
      <c r="X10" s="728"/>
      <c r="Y10" s="729"/>
      <c r="Z10" s="723"/>
    </row>
    <row r="11" spans="1:26" ht="15.75">
      <c r="A11" s="54"/>
      <c r="B11" s="28" t="s">
        <v>518</v>
      </c>
      <c r="C11" s="16"/>
      <c r="D11" s="80"/>
      <c r="E11" s="80"/>
      <c r="F11" s="80"/>
      <c r="G11" s="16"/>
      <c r="H11" s="457">
        <v>30</v>
      </c>
      <c r="I11" s="20"/>
      <c r="J11" s="20"/>
      <c r="K11" s="18"/>
      <c r="L11" s="19"/>
      <c r="M11" s="19"/>
      <c r="N11" s="19"/>
      <c r="O11" s="18"/>
      <c r="P11" s="19"/>
      <c r="Q11" s="20"/>
      <c r="R11" s="17"/>
      <c r="S11" s="18"/>
      <c r="T11" s="1021"/>
      <c r="W11" s="740"/>
      <c r="X11" s="728"/>
      <c r="Y11" s="729"/>
      <c r="Z11" s="723"/>
    </row>
    <row r="12" spans="1:26" ht="4.5" customHeight="1">
      <c r="A12" s="13"/>
      <c r="B12" s="13"/>
      <c r="C12" s="4"/>
      <c r="D12" s="12"/>
      <c r="E12" s="13"/>
      <c r="F12" s="14"/>
      <c r="G12" s="4"/>
      <c r="H12" s="12"/>
      <c r="I12" s="13"/>
      <c r="J12" s="14"/>
      <c r="K12" s="4"/>
      <c r="L12" s="12"/>
      <c r="M12" s="13"/>
      <c r="N12" s="14" t="s">
        <v>1002</v>
      </c>
      <c r="O12" s="4"/>
      <c r="P12" s="12"/>
      <c r="Q12" s="13"/>
      <c r="R12" s="14"/>
      <c r="S12" s="4"/>
      <c r="T12" s="744"/>
      <c r="W12" s="740"/>
      <c r="X12" s="728"/>
      <c r="Y12" s="729"/>
      <c r="Z12" s="723"/>
    </row>
    <row r="13" spans="1:26" ht="15.75">
      <c r="A13" s="52">
        <v>3</v>
      </c>
      <c r="B13" s="38" t="s">
        <v>834</v>
      </c>
      <c r="C13" s="16"/>
      <c r="D13" s="19"/>
      <c r="E13" s="20"/>
      <c r="F13" s="20"/>
      <c r="G13" s="16"/>
      <c r="H13" s="19"/>
      <c r="I13" s="458">
        <v>31</v>
      </c>
      <c r="J13" s="458">
        <v>30</v>
      </c>
      <c r="K13" s="18"/>
      <c r="L13" s="458">
        <v>31</v>
      </c>
      <c r="M13" s="17"/>
      <c r="N13" s="17"/>
      <c r="O13" s="18"/>
      <c r="P13" s="19"/>
      <c r="Q13" s="20"/>
      <c r="R13" s="17"/>
      <c r="S13" s="18"/>
      <c r="T13" s="1019">
        <v>70000</v>
      </c>
      <c r="U13" s="725">
        <v>70000</v>
      </c>
      <c r="V13" s="1033">
        <v>0</v>
      </c>
      <c r="W13" s="740"/>
      <c r="X13" s="728"/>
      <c r="Y13" s="729"/>
      <c r="Z13" s="723"/>
    </row>
    <row r="14" spans="1:26" ht="4.5" customHeight="1">
      <c r="A14" s="37"/>
      <c r="B14" s="37"/>
      <c r="C14" s="16"/>
      <c r="D14" s="39"/>
      <c r="E14" s="40"/>
      <c r="F14" s="41"/>
      <c r="G14" s="16"/>
      <c r="H14" s="39"/>
      <c r="I14" s="40"/>
      <c r="J14" s="41"/>
      <c r="K14" s="42"/>
      <c r="L14" s="39"/>
      <c r="M14" s="40"/>
      <c r="N14" s="41"/>
      <c r="O14" s="42"/>
      <c r="P14" s="39"/>
      <c r="Q14" s="40"/>
      <c r="R14" s="41"/>
      <c r="S14" s="18"/>
      <c r="T14" s="744"/>
      <c r="U14" s="18"/>
      <c r="V14" s="1034"/>
      <c r="W14" s="740"/>
      <c r="X14" s="728"/>
      <c r="Y14" s="729"/>
      <c r="Z14" s="723"/>
    </row>
    <row r="15" spans="1:26" ht="15.75">
      <c r="A15" s="52">
        <v>4</v>
      </c>
      <c r="B15" s="38" t="s">
        <v>959</v>
      </c>
      <c r="C15" s="16"/>
      <c r="D15" s="19"/>
      <c r="E15" s="20"/>
      <c r="F15" s="20"/>
      <c r="G15" s="16"/>
      <c r="H15" s="457">
        <v>30</v>
      </c>
      <c r="I15" s="458">
        <v>31</v>
      </c>
      <c r="J15" s="458">
        <v>30</v>
      </c>
      <c r="K15" s="18"/>
      <c r="L15" s="17"/>
      <c r="M15" s="17"/>
      <c r="N15" s="17"/>
      <c r="O15" s="18"/>
      <c r="P15" s="19"/>
      <c r="Q15" s="20"/>
      <c r="R15" s="17"/>
      <c r="S15" s="18"/>
      <c r="T15" s="1019">
        <v>20000</v>
      </c>
      <c r="U15" s="725">
        <v>7994</v>
      </c>
      <c r="V15" s="1033">
        <v>12006</v>
      </c>
      <c r="W15" s="731" t="s">
        <v>27</v>
      </c>
      <c r="X15" s="726">
        <f>V15</f>
        <v>12006</v>
      </c>
      <c r="Y15" s="727">
        <v>38808</v>
      </c>
      <c r="Z15" s="723"/>
    </row>
    <row r="16" spans="1:26" ht="4.5" customHeight="1">
      <c r="A16" s="37"/>
      <c r="B16" s="37"/>
      <c r="C16" s="16"/>
      <c r="D16" s="39"/>
      <c r="E16" s="40"/>
      <c r="F16" s="41"/>
      <c r="G16" s="16"/>
      <c r="H16" s="39"/>
      <c r="I16" s="40"/>
      <c r="J16" s="41"/>
      <c r="K16" s="42"/>
      <c r="L16" s="39"/>
      <c r="M16" s="40"/>
      <c r="N16" s="41"/>
      <c r="O16" s="42"/>
      <c r="P16" s="39"/>
      <c r="Q16" s="40"/>
      <c r="R16" s="41"/>
      <c r="S16" s="18"/>
      <c r="T16" s="744"/>
      <c r="W16" s="728"/>
      <c r="X16" s="728"/>
      <c r="Y16" s="729"/>
      <c r="Z16" s="723"/>
    </row>
    <row r="17" spans="1:26" ht="15.75">
      <c r="A17" s="53">
        <v>5</v>
      </c>
      <c r="B17" s="26" t="s">
        <v>393</v>
      </c>
      <c r="C17" s="16"/>
      <c r="D17" s="19"/>
      <c r="E17" s="20"/>
      <c r="F17" s="17"/>
      <c r="G17" s="16"/>
      <c r="H17" s="19"/>
      <c r="I17" s="19"/>
      <c r="J17" s="458">
        <v>30</v>
      </c>
      <c r="K17" s="18"/>
      <c r="L17" s="458">
        <v>31</v>
      </c>
      <c r="M17" s="17"/>
      <c r="N17" s="17"/>
      <c r="O17" s="18"/>
      <c r="P17" s="19"/>
      <c r="Q17" s="20"/>
      <c r="R17" s="17"/>
      <c r="S17" s="18"/>
      <c r="T17" s="1019">
        <f>Н_ОБЛ!E35</f>
        <v>188980</v>
      </c>
      <c r="U17" s="725">
        <v>0</v>
      </c>
      <c r="V17" s="1033">
        <v>188980</v>
      </c>
      <c r="W17" s="731" t="s">
        <v>28</v>
      </c>
      <c r="X17" s="726">
        <f>V17</f>
        <v>188980</v>
      </c>
      <c r="Y17" s="727">
        <v>38899</v>
      </c>
      <c r="Z17" s="723"/>
    </row>
    <row r="18" spans="1:26" ht="15.75">
      <c r="A18" s="54"/>
      <c r="B18" s="28" t="s">
        <v>394</v>
      </c>
      <c r="C18" s="16"/>
      <c r="D18" s="21"/>
      <c r="E18" s="22"/>
      <c r="F18" s="23"/>
      <c r="G18" s="16"/>
      <c r="H18" s="21"/>
      <c r="I18" s="22"/>
      <c r="J18" s="23"/>
      <c r="K18" s="18"/>
      <c r="L18" s="21"/>
      <c r="M18" s="22"/>
      <c r="N18" s="23"/>
      <c r="O18" s="18"/>
      <c r="P18" s="21"/>
      <c r="Q18" s="22"/>
      <c r="R18" s="23"/>
      <c r="S18" s="18"/>
      <c r="T18" s="1021"/>
      <c r="U18" s="4"/>
      <c r="V18" s="1034"/>
      <c r="W18" s="730"/>
      <c r="X18" s="728"/>
      <c r="Y18" s="729"/>
      <c r="Z18" s="723"/>
    </row>
    <row r="19" spans="1:26" ht="4.5" customHeight="1">
      <c r="A19" s="37"/>
      <c r="B19" s="37"/>
      <c r="C19" s="16"/>
      <c r="D19" s="39"/>
      <c r="E19" s="40"/>
      <c r="F19" s="41"/>
      <c r="G19" s="16"/>
      <c r="H19" s="39"/>
      <c r="I19" s="40"/>
      <c r="J19" s="41"/>
      <c r="K19" s="42"/>
      <c r="L19" s="39"/>
      <c r="M19" s="40"/>
      <c r="N19" s="41"/>
      <c r="O19" s="42"/>
      <c r="P19" s="39"/>
      <c r="Q19" s="40"/>
      <c r="R19" s="41"/>
      <c r="S19" s="18"/>
      <c r="T19" s="744"/>
      <c r="Y19" s="729"/>
      <c r="Z19" s="723"/>
    </row>
    <row r="20" spans="1:26" ht="15.75">
      <c r="A20" s="52">
        <v>6</v>
      </c>
      <c r="B20" s="15" t="s">
        <v>395</v>
      </c>
      <c r="C20" s="16"/>
      <c r="D20" s="19"/>
      <c r="E20" s="20"/>
      <c r="F20" s="17"/>
      <c r="G20" s="16"/>
      <c r="H20" s="19"/>
      <c r="I20" s="20"/>
      <c r="J20" s="20"/>
      <c r="K20" s="18"/>
      <c r="L20" s="17"/>
      <c r="M20" s="458">
        <v>31</v>
      </c>
      <c r="N20" s="458">
        <v>30</v>
      </c>
      <c r="O20" s="18"/>
      <c r="P20" s="19"/>
      <c r="Q20" s="20"/>
      <c r="R20" s="17"/>
      <c r="S20" s="18"/>
      <c r="T20" s="1019">
        <v>1000</v>
      </c>
      <c r="U20" s="725">
        <v>1000</v>
      </c>
      <c r="V20" s="1033">
        <v>0</v>
      </c>
      <c r="W20" s="734"/>
      <c r="X20" s="729"/>
      <c r="Y20" s="729"/>
      <c r="Z20" s="723"/>
    </row>
    <row r="21" spans="1:26" ht="4.5" customHeight="1">
      <c r="A21" s="37"/>
      <c r="B21" s="37"/>
      <c r="C21" s="16"/>
      <c r="D21" s="39"/>
      <c r="E21" s="40"/>
      <c r="F21" s="41"/>
      <c r="G21" s="16"/>
      <c r="H21" s="39"/>
      <c r="I21" s="40"/>
      <c r="J21" s="41"/>
      <c r="K21" s="42"/>
      <c r="L21" s="39"/>
      <c r="M21" s="40"/>
      <c r="N21" s="41"/>
      <c r="O21" s="42"/>
      <c r="P21" s="39"/>
      <c r="Q21" s="40"/>
      <c r="R21" s="41"/>
      <c r="S21" s="18"/>
      <c r="T21" s="744"/>
      <c r="W21" s="737"/>
      <c r="Y21" s="729"/>
      <c r="Z21" s="723"/>
    </row>
    <row r="22" spans="1:26" ht="15.75">
      <c r="A22" s="52">
        <v>7</v>
      </c>
      <c r="B22" s="43" t="s">
        <v>467</v>
      </c>
      <c r="C22" s="16"/>
      <c r="D22" s="19"/>
      <c r="E22" s="20"/>
      <c r="F22" s="17"/>
      <c r="G22" s="16"/>
      <c r="H22" s="19"/>
      <c r="I22" s="20"/>
      <c r="J22" s="17"/>
      <c r="K22" s="18"/>
      <c r="L22" s="19"/>
      <c r="M22" s="458">
        <v>31</v>
      </c>
      <c r="N22" s="458">
        <v>30</v>
      </c>
      <c r="O22" s="18"/>
      <c r="P22" s="458">
        <v>31</v>
      </c>
      <c r="Q22" s="20"/>
      <c r="R22" s="17"/>
      <c r="S22" s="18"/>
      <c r="T22" s="1019">
        <v>5000</v>
      </c>
      <c r="U22" s="725">
        <v>5000</v>
      </c>
      <c r="V22" s="1033">
        <v>0</v>
      </c>
      <c r="W22" s="737"/>
      <c r="Z22" s="723"/>
    </row>
    <row r="23" spans="1:26" ht="4.5" customHeight="1">
      <c r="A23" s="37"/>
      <c r="B23" s="37"/>
      <c r="C23" s="16"/>
      <c r="D23" s="21"/>
      <c r="E23" s="22"/>
      <c r="F23" s="23"/>
      <c r="G23" s="16"/>
      <c r="H23" s="21"/>
      <c r="I23" s="22"/>
      <c r="J23" s="23"/>
      <c r="K23" s="18"/>
      <c r="L23" s="24"/>
      <c r="M23" s="18"/>
      <c r="N23" s="25"/>
      <c r="O23" s="18"/>
      <c r="P23" s="25"/>
      <c r="Q23" s="18"/>
      <c r="R23" s="25"/>
      <c r="S23" s="18"/>
      <c r="T23" s="744"/>
      <c r="U23" s="18"/>
      <c r="V23" s="1035"/>
      <c r="W23" s="738"/>
      <c r="X23" s="724"/>
      <c r="Y23" s="733"/>
      <c r="Z23" s="723"/>
    </row>
    <row r="24" spans="1:26" ht="15.75">
      <c r="A24" s="52">
        <v>8</v>
      </c>
      <c r="B24" s="38" t="s">
        <v>484</v>
      </c>
      <c r="C24" s="16"/>
      <c r="D24" s="19"/>
      <c r="E24" s="20"/>
      <c r="F24" s="20"/>
      <c r="G24" s="16"/>
      <c r="H24" s="19"/>
      <c r="I24" s="20"/>
      <c r="J24" s="20"/>
      <c r="K24" s="18"/>
      <c r="L24" s="19"/>
      <c r="M24" s="19"/>
      <c r="N24" s="458">
        <v>30</v>
      </c>
      <c r="O24" s="18"/>
      <c r="P24" s="458">
        <v>31</v>
      </c>
      <c r="Q24" s="19"/>
      <c r="R24" s="17"/>
      <c r="S24" s="18"/>
      <c r="T24" s="1019">
        <v>5000</v>
      </c>
      <c r="U24" s="725">
        <v>5000</v>
      </c>
      <c r="V24" s="1033">
        <v>0</v>
      </c>
      <c r="W24" s="737"/>
      <c r="Z24" s="723"/>
    </row>
    <row r="25" spans="1:26" ht="4.5" customHeight="1">
      <c r="A25" s="37"/>
      <c r="B25" s="37"/>
      <c r="C25" s="16"/>
      <c r="D25" s="21"/>
      <c r="E25" s="22"/>
      <c r="F25" s="23"/>
      <c r="G25" s="16"/>
      <c r="H25" s="21"/>
      <c r="I25" s="22"/>
      <c r="J25" s="23"/>
      <c r="K25" s="18"/>
      <c r="L25" s="21"/>
      <c r="M25" s="22"/>
      <c r="N25" s="22"/>
      <c r="O25" s="18"/>
      <c r="P25" s="21"/>
      <c r="Q25" s="18"/>
      <c r="R25" s="25"/>
      <c r="S25" s="18"/>
      <c r="T25" s="744"/>
      <c r="U25" s="18"/>
      <c r="V25" s="1035"/>
      <c r="W25" s="738"/>
      <c r="X25" s="724"/>
      <c r="Y25" s="733"/>
      <c r="Z25" s="723"/>
    </row>
    <row r="26" spans="1:26" ht="15.75">
      <c r="A26" s="52">
        <v>9</v>
      </c>
      <c r="B26" s="15" t="s">
        <v>468</v>
      </c>
      <c r="C26" s="16"/>
      <c r="D26" s="19"/>
      <c r="E26" s="20"/>
      <c r="F26" s="20"/>
      <c r="G26" s="16"/>
      <c r="H26" s="19"/>
      <c r="I26" s="20"/>
      <c r="J26" s="20"/>
      <c r="K26" s="18"/>
      <c r="L26" s="19"/>
      <c r="M26" s="19"/>
      <c r="N26" s="19"/>
      <c r="O26" s="18"/>
      <c r="P26" s="19"/>
      <c r="Q26" s="458">
        <v>30</v>
      </c>
      <c r="R26" s="17"/>
      <c r="S26" s="18"/>
      <c r="T26" s="1019">
        <v>2000</v>
      </c>
      <c r="U26" s="725">
        <v>2000</v>
      </c>
      <c r="V26" s="1033">
        <v>0</v>
      </c>
      <c r="W26" s="738"/>
      <c r="X26" s="724"/>
      <c r="Y26" s="733"/>
      <c r="Z26" s="723"/>
    </row>
    <row r="27" spans="1:26" ht="4.5" customHeight="1">
      <c r="A27" s="37"/>
      <c r="B27" s="37"/>
      <c r="C27" s="16"/>
      <c r="D27" s="21"/>
      <c r="E27" s="22"/>
      <c r="F27" s="23"/>
      <c r="G27" s="16"/>
      <c r="H27" s="21"/>
      <c r="I27" s="22"/>
      <c r="J27" s="23"/>
      <c r="K27" s="18"/>
      <c r="L27" s="21"/>
      <c r="M27" s="22"/>
      <c r="N27" s="22"/>
      <c r="O27" s="18"/>
      <c r="P27" s="21"/>
      <c r="Q27" s="18"/>
      <c r="R27" s="25"/>
      <c r="S27" s="18"/>
      <c r="T27" s="744"/>
      <c r="Z27" s="723"/>
    </row>
    <row r="28" spans="1:26" ht="15.75">
      <c r="A28" s="545">
        <v>10</v>
      </c>
      <c r="B28" s="15" t="s">
        <v>36</v>
      </c>
      <c r="C28" s="16"/>
      <c r="D28" s="19"/>
      <c r="E28" s="20"/>
      <c r="F28" s="20"/>
      <c r="G28" s="16"/>
      <c r="H28" s="19"/>
      <c r="I28" s="20"/>
      <c r="J28" s="20"/>
      <c r="K28" s="18"/>
      <c r="L28" s="19"/>
      <c r="M28" s="20"/>
      <c r="N28" s="20"/>
      <c r="O28" s="18"/>
      <c r="P28" s="19"/>
      <c r="Q28" s="565">
        <v>30</v>
      </c>
      <c r="R28" s="17"/>
      <c r="S28" s="18"/>
      <c r="T28" s="1019">
        <f>МАТ!D28</f>
        <v>129014</v>
      </c>
      <c r="U28" s="725">
        <v>0</v>
      </c>
      <c r="V28" s="1036">
        <v>129014</v>
      </c>
      <c r="W28" s="732" t="s">
        <v>29</v>
      </c>
      <c r="X28" s="726">
        <f>V28+V30</f>
        <v>129014</v>
      </c>
      <c r="Y28" s="727">
        <v>39022</v>
      </c>
      <c r="Z28" s="723"/>
    </row>
    <row r="29" spans="1:26" ht="4.5" customHeight="1">
      <c r="A29" s="37"/>
      <c r="B29" s="37"/>
      <c r="C29" s="16"/>
      <c r="D29" s="39"/>
      <c r="E29" s="40"/>
      <c r="F29" s="41"/>
      <c r="G29" s="16"/>
      <c r="H29" s="39"/>
      <c r="I29" s="40"/>
      <c r="J29" s="41"/>
      <c r="K29" s="42"/>
      <c r="L29" s="39"/>
      <c r="M29" s="40"/>
      <c r="N29" s="40"/>
      <c r="O29" s="42"/>
      <c r="P29" s="39"/>
      <c r="Q29" s="40"/>
      <c r="R29" s="41"/>
      <c r="S29" s="18"/>
      <c r="T29" s="744"/>
      <c r="U29" s="18"/>
      <c r="V29" s="1037"/>
      <c r="W29" s="724"/>
      <c r="X29" s="724"/>
      <c r="Y29" s="733"/>
      <c r="Z29" s="723"/>
    </row>
    <row r="30" spans="1:26" ht="15.75" customHeight="1">
      <c r="A30" s="52">
        <v>11</v>
      </c>
      <c r="B30" s="536" t="s">
        <v>6</v>
      </c>
      <c r="C30" s="16"/>
      <c r="D30" s="19"/>
      <c r="E30" s="20"/>
      <c r="F30" s="20"/>
      <c r="G30" s="16"/>
      <c r="H30" s="19"/>
      <c r="I30" s="20"/>
      <c r="J30" s="20"/>
      <c r="K30" s="18"/>
      <c r="L30" s="19"/>
      <c r="M30" s="20"/>
      <c r="N30" s="20"/>
      <c r="O30" s="18"/>
      <c r="P30" s="19"/>
      <c r="Q30" s="458">
        <v>30</v>
      </c>
      <c r="R30" s="17"/>
      <c r="S30" s="18"/>
      <c r="T30" s="1019">
        <v>3006</v>
      </c>
      <c r="U30" s="725">
        <v>3006</v>
      </c>
      <c r="V30" s="1033">
        <v>0</v>
      </c>
      <c r="W30" s="724"/>
      <c r="X30" s="724"/>
      <c r="Y30" s="734"/>
      <c r="Z30" s="723"/>
    </row>
    <row r="31" spans="1:26" ht="4.5" customHeight="1">
      <c r="A31" s="37"/>
      <c r="B31" s="37"/>
      <c r="C31" s="16"/>
      <c r="D31" s="39"/>
      <c r="E31" s="40"/>
      <c r="F31" s="41"/>
      <c r="G31" s="16"/>
      <c r="H31" s="39"/>
      <c r="I31" s="40"/>
      <c r="J31" s="41"/>
      <c r="K31" s="42"/>
      <c r="L31" s="39"/>
      <c r="M31" s="40"/>
      <c r="N31" s="40"/>
      <c r="O31" s="42"/>
      <c r="P31" s="39"/>
      <c r="Q31" s="40"/>
      <c r="R31" s="41"/>
      <c r="S31" s="18"/>
      <c r="T31" s="724"/>
      <c r="U31" s="724"/>
      <c r="V31" s="1037"/>
      <c r="W31" s="724"/>
      <c r="X31" s="724"/>
      <c r="Y31" s="735"/>
      <c r="Z31" s="723"/>
    </row>
    <row r="32" spans="1:26" ht="15" customHeight="1">
      <c r="A32" s="52">
        <v>12</v>
      </c>
      <c r="B32" s="43" t="s">
        <v>469</v>
      </c>
      <c r="C32" s="16"/>
      <c r="D32" s="19"/>
      <c r="E32" s="20"/>
      <c r="F32" s="17"/>
      <c r="G32" s="16"/>
      <c r="H32" s="19"/>
      <c r="I32" s="20"/>
      <c r="J32" s="17"/>
      <c r="K32" s="18"/>
      <c r="L32" s="19"/>
      <c r="M32" s="20"/>
      <c r="N32" s="20"/>
      <c r="O32" s="18"/>
      <c r="P32" s="19"/>
      <c r="Q32" s="19"/>
      <c r="R32" s="459" t="s">
        <v>450</v>
      </c>
      <c r="S32" s="18"/>
      <c r="T32" s="724"/>
      <c r="U32" s="724"/>
      <c r="V32" s="1037"/>
      <c r="W32" s="724"/>
      <c r="X32" s="724"/>
      <c r="Y32" s="734"/>
      <c r="Z32" s="723"/>
    </row>
    <row r="33" spans="1:26" s="2" customFormat="1" ht="4.5" customHeight="1" thickBot="1">
      <c r="A33" s="29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1"/>
      <c r="M33" s="31"/>
      <c r="N33" s="32"/>
      <c r="O33" s="30"/>
      <c r="P33" s="32"/>
      <c r="Q33" s="32"/>
      <c r="R33" s="32"/>
      <c r="S33" s="32"/>
      <c r="T33" s="739"/>
      <c r="U33" s="739"/>
      <c r="V33" s="1038"/>
      <c r="W33" s="739"/>
      <c r="X33" s="739"/>
      <c r="Y33" s="743"/>
      <c r="Z33" s="723"/>
    </row>
    <row r="34" spans="1:26" ht="16.5" thickTop="1">
      <c r="A34" s="5"/>
      <c r="B34" s="5"/>
      <c r="C34" s="16"/>
      <c r="D34" s="33"/>
      <c r="E34" s="8"/>
      <c r="F34" s="8"/>
      <c r="G34" s="16"/>
      <c r="H34" s="33" t="s">
        <v>475</v>
      </c>
      <c r="I34" s="8"/>
      <c r="J34" s="8"/>
      <c r="K34" s="7"/>
      <c r="L34" s="3"/>
      <c r="M34" s="8"/>
      <c r="N34" s="3"/>
      <c r="O34" s="6"/>
      <c r="P34" s="1109" t="s">
        <v>592</v>
      </c>
      <c r="Q34" s="1109"/>
      <c r="R34" s="1109"/>
      <c r="S34" s="4"/>
      <c r="T34" s="1022">
        <f>SUM(T7:T33)</f>
        <v>430000</v>
      </c>
      <c r="U34" s="736">
        <f>SUM(U7:U30)</f>
        <v>100000</v>
      </c>
      <c r="V34" s="1039">
        <f>SUM(V7:V30)</f>
        <v>330000</v>
      </c>
      <c r="W34" s="724"/>
      <c r="X34" s="742">
        <f>SUM(X7:X30)</f>
        <v>330000</v>
      </c>
      <c r="Y34" s="734"/>
      <c r="Z34" s="723"/>
    </row>
    <row r="35" spans="1:26" ht="15" customHeight="1">
      <c r="A35" s="5"/>
      <c r="B35" s="5"/>
      <c r="C35" s="16"/>
      <c r="D35" s="458">
        <v>30</v>
      </c>
      <c r="E35" s="3" t="s">
        <v>476</v>
      </c>
      <c r="F35" s="3"/>
      <c r="G35" s="16"/>
      <c r="J35" s="3"/>
      <c r="K35" s="6"/>
      <c r="L35" s="460" t="s">
        <v>450</v>
      </c>
      <c r="M35" s="3" t="s">
        <v>5</v>
      </c>
      <c r="N35" s="5"/>
      <c r="O35" s="4"/>
      <c r="S35" s="3"/>
      <c r="T35" s="18"/>
      <c r="U35" s="18"/>
      <c r="V35" s="1040">
        <v>39083</v>
      </c>
      <c r="W35" s="1041" t="s">
        <v>30</v>
      </c>
      <c r="X35" s="1042"/>
      <c r="Y35" s="1043"/>
      <c r="Z35" s="723"/>
    </row>
    <row r="36" spans="1:26" ht="15.75">
      <c r="A36" s="359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903" t="s">
        <v>592</v>
      </c>
      <c r="U36" s="741">
        <f>SUM(U7:U30)</f>
        <v>100000</v>
      </c>
      <c r="V36" s="741">
        <f>SUM(V7:V30)</f>
        <v>330000</v>
      </c>
      <c r="W36" s="741">
        <f>V36+U36</f>
        <v>430000</v>
      </c>
      <c r="X36" s="359"/>
      <c r="Y36" s="359"/>
      <c r="Z36" s="723"/>
    </row>
    <row r="37" spans="1:26" ht="5.25" customHeight="1">
      <c r="A37" s="359"/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723"/>
    </row>
    <row r="38" spans="1:26" ht="15.75">
      <c r="A38" s="359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1105">
        <v>100000</v>
      </c>
      <c r="V38" s="1104" t="s">
        <v>31</v>
      </c>
      <c r="W38" s="1106">
        <v>330000</v>
      </c>
      <c r="X38" s="1104" t="s">
        <v>32</v>
      </c>
      <c r="Y38" s="1107"/>
      <c r="Z38" s="723"/>
    </row>
    <row r="39" spans="1:26" ht="15.75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1107"/>
      <c r="V39" s="1107"/>
      <c r="W39" s="1108">
        <f>W38-V36</f>
        <v>0</v>
      </c>
      <c r="X39" s="1104" t="s">
        <v>33</v>
      </c>
      <c r="Y39" s="1107"/>
      <c r="Z39" s="723"/>
    </row>
    <row r="40" spans="1:26" ht="12.75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723"/>
      <c r="Z40" s="723"/>
    </row>
    <row r="41" spans="1:26" ht="12.75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723"/>
      <c r="Z41" s="723"/>
    </row>
    <row r="42" spans="1:26" ht="12.75">
      <c r="A42" s="359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723"/>
    </row>
    <row r="43" spans="1:26" ht="12.75">
      <c r="A43" s="359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723"/>
    </row>
  </sheetData>
  <sheetProtection/>
  <mergeCells count="11">
    <mergeCell ref="Y3:Y5"/>
    <mergeCell ref="A1:Y1"/>
    <mergeCell ref="T3:T5"/>
    <mergeCell ref="U3:U5"/>
    <mergeCell ref="V3:V5"/>
    <mergeCell ref="P34:R34"/>
    <mergeCell ref="D4:R4"/>
    <mergeCell ref="D3:R3"/>
    <mergeCell ref="B3:B5"/>
    <mergeCell ref="W3:W5"/>
    <mergeCell ref="X3:X5"/>
  </mergeCells>
  <printOptions horizontalCentered="1" verticalCentered="1"/>
  <pageMargins left="0.27" right="0.7480314960629921" top="0.8661417322834646" bottom="0.31496062992125984" header="0.5118110236220472" footer="0.2755905511811024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1"/>
  <sheetViews>
    <sheetView showGridLines="0" zoomScale="75" zoomScaleNormal="75" zoomScalePageLayoutView="0" workbookViewId="0" topLeftCell="A27">
      <selection activeCell="E40" sqref="E40"/>
    </sheetView>
  </sheetViews>
  <sheetFormatPr defaultColWidth="8.875" defaultRowHeight="12.75"/>
  <cols>
    <col min="1" max="1" width="47.25390625" style="36" customWidth="1"/>
    <col min="2" max="2" width="12.25390625" style="36" customWidth="1"/>
    <col min="3" max="3" width="14.625" style="36" customWidth="1"/>
    <col min="4" max="4" width="17.25390625" style="36" bestFit="1" customWidth="1"/>
    <col min="5" max="5" width="24.875" style="36" customWidth="1"/>
    <col min="6" max="16384" width="8.875" style="36" customWidth="1"/>
  </cols>
  <sheetData>
    <row r="1" spans="4:5" ht="18" customHeight="1">
      <c r="D1" s="381" t="s">
        <v>403</v>
      </c>
      <c r="E1" s="353"/>
    </row>
    <row r="2" spans="1:5" ht="18" customHeight="1">
      <c r="A2" s="1188" t="s">
        <v>123</v>
      </c>
      <c r="B2" s="1188"/>
      <c r="C2" s="1188"/>
      <c r="D2" s="1188"/>
      <c r="E2" s="353"/>
    </row>
    <row r="3" spans="1:5" ht="18">
      <c r="A3" s="1188" t="s">
        <v>121</v>
      </c>
      <c r="B3" s="1188"/>
      <c r="C3" s="1188"/>
      <c r="D3" s="1188"/>
      <c r="E3" s="353"/>
    </row>
    <row r="4" spans="1:5" ht="30" customHeight="1">
      <c r="A4" s="1191" t="s">
        <v>3</v>
      </c>
      <c r="B4" s="1191"/>
      <c r="C4" s="1191"/>
      <c r="D4" s="1191"/>
      <c r="E4" s="353"/>
    </row>
    <row r="5" ht="6.75" customHeight="1" thickBot="1">
      <c r="E5" s="353"/>
    </row>
    <row r="6" spans="1:5" ht="17.25" customHeight="1" thickTop="1">
      <c r="A6" s="1175" t="s">
        <v>408</v>
      </c>
      <c r="B6" s="1182" t="s">
        <v>192</v>
      </c>
      <c r="C6" s="1180" t="s">
        <v>642</v>
      </c>
      <c r="D6" s="1180" t="s">
        <v>643</v>
      </c>
      <c r="E6" s="353"/>
    </row>
    <row r="7" spans="1:5" ht="33.75" customHeight="1" thickBot="1">
      <c r="A7" s="1176"/>
      <c r="B7" s="1183"/>
      <c r="C7" s="1181"/>
      <c r="D7" s="1181"/>
      <c r="E7" s="353"/>
    </row>
    <row r="8" spans="1:5" ht="0.75" customHeight="1" thickBot="1" thickTop="1">
      <c r="A8" s="150"/>
      <c r="B8" s="151"/>
      <c r="C8" s="621"/>
      <c r="D8" s="152"/>
      <c r="E8" s="353"/>
    </row>
    <row r="9" spans="1:5" ht="10.5" customHeight="1" thickTop="1">
      <c r="A9" s="1185"/>
      <c r="B9" s="1186"/>
      <c r="C9" s="1186"/>
      <c r="D9" s="1187"/>
      <c r="E9" s="353"/>
    </row>
    <row r="10" spans="1:5" ht="44.25" customHeight="1">
      <c r="A10" s="714" t="s">
        <v>165</v>
      </c>
      <c r="B10" s="718">
        <v>0.08</v>
      </c>
      <c r="C10" s="1189" t="s">
        <v>258</v>
      </c>
      <c r="D10" s="1190"/>
      <c r="E10" s="353"/>
    </row>
    <row r="11" spans="1:5" ht="12" customHeight="1">
      <c r="A11" s="715" t="s">
        <v>130</v>
      </c>
      <c r="B11" s="706"/>
      <c r="C11" s="1163"/>
      <c r="D11" s="1164"/>
      <c r="E11" s="353"/>
    </row>
    <row r="12" spans="1:5" ht="12" customHeight="1">
      <c r="A12" s="715" t="s">
        <v>131</v>
      </c>
      <c r="B12" s="706"/>
      <c r="C12" s="1163"/>
      <c r="D12" s="1164"/>
      <c r="E12" s="353"/>
    </row>
    <row r="13" spans="1:5" ht="12" customHeight="1">
      <c r="A13" s="715" t="s">
        <v>132</v>
      </c>
      <c r="B13" s="706"/>
      <c r="C13" s="1163"/>
      <c r="D13" s="1164"/>
      <c r="E13" s="353"/>
    </row>
    <row r="14" spans="1:5" ht="27" customHeight="1">
      <c r="A14" s="721" t="s">
        <v>133</v>
      </c>
      <c r="B14" s="706"/>
      <c r="C14" s="1163"/>
      <c r="D14" s="1164"/>
      <c r="E14" s="353"/>
    </row>
    <row r="15" spans="1:5" ht="24" customHeight="1" thickBot="1">
      <c r="A15" s="716" t="s">
        <v>152</v>
      </c>
      <c r="B15" s="719"/>
      <c r="C15" s="626">
        <f>СПЦ!C8</f>
        <v>70000</v>
      </c>
      <c r="D15" s="627">
        <v>39083</v>
      </c>
      <c r="E15" s="353"/>
    </row>
    <row r="16" spans="1:5" ht="44.25" customHeight="1" thickTop="1">
      <c r="A16" s="631" t="s">
        <v>166</v>
      </c>
      <c r="B16" s="713">
        <v>0.4</v>
      </c>
      <c r="C16" s="1163" t="s">
        <v>639</v>
      </c>
      <c r="D16" s="1164"/>
      <c r="E16" s="353"/>
    </row>
    <row r="17" spans="1:5" ht="12" customHeight="1">
      <c r="A17" s="632" t="s">
        <v>125</v>
      </c>
      <c r="B17" s="705"/>
      <c r="C17" s="1163"/>
      <c r="D17" s="1164"/>
      <c r="E17" s="353"/>
    </row>
    <row r="18" spans="1:5" ht="12" customHeight="1">
      <c r="A18" s="632" t="s">
        <v>126</v>
      </c>
      <c r="B18" s="705"/>
      <c r="C18" s="1163"/>
      <c r="D18" s="1164"/>
      <c r="E18" s="353"/>
    </row>
    <row r="19" spans="1:5" ht="12" customHeight="1">
      <c r="A19" s="632" t="s">
        <v>127</v>
      </c>
      <c r="B19" s="705"/>
      <c r="C19" s="1163"/>
      <c r="D19" s="1164"/>
      <c r="E19" s="353"/>
    </row>
    <row r="20" spans="1:5" ht="12" customHeight="1">
      <c r="A20" s="632" t="s">
        <v>128</v>
      </c>
      <c r="B20" s="705"/>
      <c r="C20" s="1163"/>
      <c r="D20" s="1164"/>
      <c r="E20" s="353"/>
    </row>
    <row r="21" spans="1:5" ht="12" customHeight="1">
      <c r="A21" s="632" t="s">
        <v>129</v>
      </c>
      <c r="B21" s="705"/>
      <c r="C21" s="1165"/>
      <c r="D21" s="1166"/>
      <c r="E21" s="353"/>
    </row>
    <row r="22" spans="1:5" ht="24" customHeight="1" thickBot="1">
      <c r="A22" s="711" t="s">
        <v>153</v>
      </c>
      <c r="B22" s="712"/>
      <c r="C22" s="626">
        <f>СПЦ!C9+СПЦ!D9</f>
        <v>20000</v>
      </c>
      <c r="D22" s="627">
        <v>39083</v>
      </c>
      <c r="E22" s="353"/>
    </row>
    <row r="23" spans="1:5" ht="45" customHeight="1" thickTop="1">
      <c r="A23" s="631" t="s">
        <v>167</v>
      </c>
      <c r="B23" s="717">
        <v>0.24</v>
      </c>
      <c r="C23" s="1163" t="s">
        <v>641</v>
      </c>
      <c r="D23" s="1164"/>
      <c r="E23" s="353"/>
    </row>
    <row r="24" spans="1:5" ht="12.75">
      <c r="A24" s="632" t="s">
        <v>134</v>
      </c>
      <c r="B24" s="707"/>
      <c r="C24" s="1163"/>
      <c r="D24" s="1164"/>
      <c r="E24" s="353"/>
    </row>
    <row r="25" spans="1:5" ht="12.75">
      <c r="A25" s="632" t="s">
        <v>135</v>
      </c>
      <c r="B25" s="707"/>
      <c r="C25" s="1163"/>
      <c r="D25" s="1164"/>
      <c r="E25" s="353"/>
    </row>
    <row r="26" spans="1:5" ht="27" customHeight="1">
      <c r="A26" s="632"/>
      <c r="B26" s="707"/>
      <c r="C26" s="1165"/>
      <c r="D26" s="1166"/>
      <c r="E26" s="353"/>
    </row>
    <row r="27" spans="1:5" ht="21" customHeight="1" thickBot="1">
      <c r="A27" s="711" t="s">
        <v>154</v>
      </c>
      <c r="B27" s="712"/>
      <c r="C27" s="626">
        <f>Н_ОБЛ!E37</f>
        <v>87480</v>
      </c>
      <c r="D27" s="627">
        <v>39083</v>
      </c>
      <c r="E27" s="353"/>
    </row>
    <row r="28" spans="1:5" ht="44.25" customHeight="1" thickTop="1">
      <c r="A28" s="631" t="s">
        <v>168</v>
      </c>
      <c r="B28" s="713">
        <v>0.6</v>
      </c>
      <c r="C28" s="1163" t="s">
        <v>640</v>
      </c>
      <c r="D28" s="1164"/>
      <c r="E28" s="353"/>
    </row>
    <row r="29" spans="1:5" ht="12.75">
      <c r="A29" s="632" t="s">
        <v>136</v>
      </c>
      <c r="B29" s="705"/>
      <c r="C29" s="1163"/>
      <c r="D29" s="1164"/>
      <c r="E29" s="353"/>
    </row>
    <row r="30" spans="1:5" ht="12.75">
      <c r="A30" s="633" t="s">
        <v>137</v>
      </c>
      <c r="B30" s="705"/>
      <c r="C30" s="1163"/>
      <c r="D30" s="1164"/>
      <c r="E30" s="353"/>
    </row>
    <row r="31" spans="1:5" ht="12.75">
      <c r="A31" s="632" t="s">
        <v>138</v>
      </c>
      <c r="B31" s="705"/>
      <c r="C31" s="1163"/>
      <c r="D31" s="1164"/>
      <c r="E31" s="353"/>
    </row>
    <row r="32" spans="1:5" ht="12.75">
      <c r="A32" s="632" t="s">
        <v>147</v>
      </c>
      <c r="B32" s="705"/>
      <c r="C32" s="1163"/>
      <c r="D32" s="1164"/>
      <c r="E32" s="353"/>
    </row>
    <row r="33" spans="1:5" ht="12.75">
      <c r="A33" s="632" t="s">
        <v>148</v>
      </c>
      <c r="B33" s="705"/>
      <c r="C33" s="1163"/>
      <c r="D33" s="1164"/>
      <c r="E33" s="353"/>
    </row>
    <row r="34" spans="1:5" ht="12.75">
      <c r="A34" s="632" t="s">
        <v>149</v>
      </c>
      <c r="B34" s="705"/>
      <c r="C34" s="1163"/>
      <c r="D34" s="1164"/>
      <c r="E34" s="353"/>
    </row>
    <row r="35" spans="1:5" ht="12.75">
      <c r="A35" s="632" t="s">
        <v>150</v>
      </c>
      <c r="B35" s="705"/>
      <c r="C35" s="1165"/>
      <c r="D35" s="1166"/>
      <c r="E35" s="353"/>
    </row>
    <row r="36" spans="1:5" ht="21" customHeight="1" thickBot="1">
      <c r="A36" s="711" t="s">
        <v>155</v>
      </c>
      <c r="B36" s="712"/>
      <c r="C36" s="626">
        <f>Н_ОБЛ!E38</f>
        <v>101500</v>
      </c>
      <c r="D36" s="627">
        <v>39083</v>
      </c>
      <c r="E36" s="353"/>
    </row>
    <row r="37" spans="1:5" ht="28.5" customHeight="1" thickBot="1" thickTop="1">
      <c r="A37" s="1184" t="s">
        <v>169</v>
      </c>
      <c r="B37" s="1172"/>
      <c r="C37" s="629">
        <f>+C15+C22+C27+C36</f>
        <v>278980</v>
      </c>
      <c r="D37" s="630">
        <v>39083</v>
      </c>
      <c r="E37" s="353"/>
    </row>
    <row r="38" spans="1:5" ht="24" customHeight="1" thickTop="1">
      <c r="A38" s="622" t="s">
        <v>151</v>
      </c>
      <c r="B38" s="176"/>
      <c r="C38" s="176"/>
      <c r="D38" s="178"/>
      <c r="E38" s="353"/>
    </row>
    <row r="39" spans="1:5" ht="15.75">
      <c r="A39" s="709" t="s">
        <v>636</v>
      </c>
      <c r="B39" s="710"/>
      <c r="C39" s="710"/>
      <c r="D39" s="708">
        <v>39083</v>
      </c>
      <c r="E39" s="353"/>
    </row>
    <row r="40" spans="1:5" ht="60" customHeight="1">
      <c r="A40" s="353"/>
      <c r="B40" s="353"/>
      <c r="C40" s="353"/>
      <c r="D40" s="353"/>
      <c r="E40" s="353"/>
    </row>
    <row r="41" ht="12.75">
      <c r="D41" s="178"/>
    </row>
    <row r="42" ht="12.75">
      <c r="D42" s="178"/>
    </row>
    <row r="43" ht="12.75">
      <c r="D43" s="178"/>
    </row>
    <row r="44" ht="12.75">
      <c r="D44" s="178"/>
    </row>
    <row r="45" ht="12.75">
      <c r="D45" s="178"/>
    </row>
    <row r="46" ht="12.75">
      <c r="D46" s="178"/>
    </row>
    <row r="47" ht="12.75">
      <c r="D47" s="178"/>
    </row>
    <row r="48" ht="12.75">
      <c r="D48" s="178"/>
    </row>
    <row r="49" ht="12.75">
      <c r="D49" s="178"/>
    </row>
    <row r="50" ht="12.75">
      <c r="D50" s="178"/>
    </row>
    <row r="51" ht="12.75">
      <c r="D51" s="178"/>
    </row>
    <row r="52" ht="12.75">
      <c r="D52" s="178"/>
    </row>
    <row r="53" ht="12.75">
      <c r="D53" s="178"/>
    </row>
    <row r="54" ht="12.75">
      <c r="D54" s="178"/>
    </row>
    <row r="55" ht="12.75">
      <c r="D55" s="178"/>
    </row>
    <row r="56" ht="12.75">
      <c r="D56" s="178"/>
    </row>
    <row r="57" ht="12.75">
      <c r="D57" s="178"/>
    </row>
    <row r="58" ht="12.75">
      <c r="D58" s="178"/>
    </row>
    <row r="59" ht="12.75">
      <c r="D59" s="178"/>
    </row>
    <row r="60" ht="12.75">
      <c r="D60" s="178"/>
    </row>
    <row r="61" ht="12.75">
      <c r="D61" s="178"/>
    </row>
    <row r="62" ht="12.75">
      <c r="D62" s="178"/>
    </row>
    <row r="63" ht="12.75">
      <c r="D63" s="178"/>
    </row>
    <row r="64" ht="12.75">
      <c r="D64" s="178"/>
    </row>
    <row r="65" ht="12.75">
      <c r="D65" s="178"/>
    </row>
    <row r="66" ht="12.75">
      <c r="D66" s="178"/>
    </row>
    <row r="67" ht="12.75">
      <c r="D67" s="178"/>
    </row>
    <row r="68" ht="12.75">
      <c r="D68" s="178"/>
    </row>
    <row r="69" ht="12.75">
      <c r="D69" s="178"/>
    </row>
    <row r="70" ht="12.75">
      <c r="D70" s="178"/>
    </row>
    <row r="71" ht="12.75">
      <c r="D71" s="178"/>
    </row>
    <row r="72" ht="12.75">
      <c r="D72" s="178"/>
    </row>
    <row r="73" ht="12.75">
      <c r="D73" s="178"/>
    </row>
    <row r="74" ht="12.75">
      <c r="D74" s="178"/>
    </row>
    <row r="75" ht="12.75">
      <c r="D75" s="178"/>
    </row>
    <row r="76" ht="12.75">
      <c r="D76" s="178"/>
    </row>
    <row r="77" ht="12.75">
      <c r="D77" s="178"/>
    </row>
    <row r="78" ht="12.75">
      <c r="D78" s="178"/>
    </row>
    <row r="79" ht="12.75">
      <c r="D79" s="178"/>
    </row>
    <row r="80" ht="12.75">
      <c r="D80" s="178"/>
    </row>
    <row r="81" ht="12.75">
      <c r="D81" s="178"/>
    </row>
    <row r="82" ht="12.75">
      <c r="D82" s="178"/>
    </row>
    <row r="83" ht="12.75">
      <c r="D83" s="178"/>
    </row>
    <row r="84" ht="12.75">
      <c r="D84" s="178"/>
    </row>
    <row r="85" ht="12.75">
      <c r="D85" s="178"/>
    </row>
    <row r="86" ht="12.75">
      <c r="D86" s="178"/>
    </row>
    <row r="87" ht="12.75">
      <c r="D87" s="178"/>
    </row>
    <row r="88" ht="12.75">
      <c r="D88" s="178"/>
    </row>
    <row r="89" ht="12.75">
      <c r="D89" s="178"/>
    </row>
    <row r="90" ht="12.75">
      <c r="D90" s="178"/>
    </row>
    <row r="91" ht="12.75">
      <c r="D91" s="178"/>
    </row>
    <row r="92" ht="12.75">
      <c r="D92" s="178"/>
    </row>
    <row r="93" ht="12.75">
      <c r="D93" s="178"/>
    </row>
    <row r="94" ht="12.75">
      <c r="D94" s="178"/>
    </row>
    <row r="95" ht="12.75">
      <c r="D95" s="178"/>
    </row>
    <row r="96" ht="12.75">
      <c r="D96" s="178"/>
    </row>
    <row r="97" ht="12.75">
      <c r="D97" s="178"/>
    </row>
    <row r="98" ht="12.75">
      <c r="D98" s="178"/>
    </row>
    <row r="99" ht="12.75">
      <c r="D99" s="178"/>
    </row>
    <row r="100" ht="12.75">
      <c r="D100" s="178"/>
    </row>
    <row r="101" ht="12.75">
      <c r="D101" s="178"/>
    </row>
    <row r="102" ht="12.75">
      <c r="D102" s="178"/>
    </row>
    <row r="103" ht="12.75">
      <c r="D103" s="178"/>
    </row>
    <row r="104" ht="12.75">
      <c r="D104" s="178"/>
    </row>
    <row r="105" ht="12.75">
      <c r="D105" s="178"/>
    </row>
    <row r="106" ht="12.75">
      <c r="D106" s="178"/>
    </row>
    <row r="107" ht="12.75">
      <c r="D107" s="178"/>
    </row>
    <row r="108" ht="12.75">
      <c r="D108" s="178"/>
    </row>
    <row r="109" ht="12.75">
      <c r="D109" s="178"/>
    </row>
    <row r="110" ht="12.75">
      <c r="D110" s="178"/>
    </row>
    <row r="111" ht="12.75">
      <c r="D111" s="178"/>
    </row>
    <row r="112" ht="12.75">
      <c r="D112" s="178"/>
    </row>
    <row r="113" ht="12.75">
      <c r="D113" s="178"/>
    </row>
    <row r="114" ht="12.75">
      <c r="D114" s="178"/>
    </row>
    <row r="115" ht="12.75">
      <c r="D115" s="178"/>
    </row>
    <row r="116" ht="12.75">
      <c r="D116" s="178"/>
    </row>
    <row r="117" ht="12.75">
      <c r="D117" s="178"/>
    </row>
    <row r="118" ht="12.75">
      <c r="D118" s="178"/>
    </row>
    <row r="119" ht="12.75">
      <c r="D119" s="178"/>
    </row>
    <row r="120" ht="12.75">
      <c r="D120" s="178"/>
    </row>
    <row r="121" ht="12.75">
      <c r="D121" s="178"/>
    </row>
    <row r="122" ht="12.75">
      <c r="D122" s="178"/>
    </row>
    <row r="123" ht="12.75">
      <c r="D123" s="178"/>
    </row>
    <row r="124" ht="12.75">
      <c r="D124" s="178"/>
    </row>
    <row r="125" ht="12.75">
      <c r="D125" s="178"/>
    </row>
    <row r="126" ht="12.75">
      <c r="D126" s="178"/>
    </row>
    <row r="127" ht="12.75">
      <c r="D127" s="178"/>
    </row>
    <row r="128" ht="12.75">
      <c r="D128" s="178"/>
    </row>
    <row r="129" ht="12.75">
      <c r="D129" s="178"/>
    </row>
    <row r="130" ht="12.75">
      <c r="D130" s="178"/>
    </row>
    <row r="131" ht="12.75">
      <c r="D131" s="178"/>
    </row>
    <row r="132" ht="12.75">
      <c r="D132" s="178"/>
    </row>
    <row r="133" ht="12.75">
      <c r="D133" s="178"/>
    </row>
    <row r="134" ht="12.75">
      <c r="D134" s="178"/>
    </row>
    <row r="135" ht="12.75">
      <c r="D135" s="178"/>
    </row>
    <row r="136" ht="12.75">
      <c r="D136" s="178"/>
    </row>
    <row r="137" ht="12.75">
      <c r="D137" s="178"/>
    </row>
    <row r="138" ht="12.75">
      <c r="D138" s="178"/>
    </row>
    <row r="139" ht="12.75">
      <c r="D139" s="178"/>
    </row>
    <row r="140" ht="12.75">
      <c r="D140" s="178"/>
    </row>
    <row r="141" ht="12.75">
      <c r="D141" s="178"/>
    </row>
    <row r="142" ht="12.75">
      <c r="D142" s="178"/>
    </row>
    <row r="143" ht="12.75">
      <c r="D143" s="178"/>
    </row>
    <row r="144" ht="12.75">
      <c r="D144" s="178"/>
    </row>
    <row r="145" ht="12.75">
      <c r="D145" s="178"/>
    </row>
    <row r="146" ht="12.75">
      <c r="D146" s="178"/>
    </row>
    <row r="147" ht="12.75">
      <c r="D147" s="178"/>
    </row>
    <row r="148" ht="12.75">
      <c r="D148" s="178"/>
    </row>
    <row r="149" ht="12.75">
      <c r="D149" s="178"/>
    </row>
    <row r="150" ht="12.75">
      <c r="D150" s="178"/>
    </row>
    <row r="151" ht="12.75">
      <c r="D151" s="178"/>
    </row>
    <row r="152" ht="12.75">
      <c r="D152" s="178"/>
    </row>
    <row r="153" ht="12.75">
      <c r="D153" s="178"/>
    </row>
    <row r="154" ht="12.75">
      <c r="D154" s="178"/>
    </row>
    <row r="155" ht="12.75">
      <c r="D155" s="178"/>
    </row>
    <row r="156" ht="12.75">
      <c r="D156" s="178"/>
    </row>
    <row r="157" ht="12.75">
      <c r="D157" s="178"/>
    </row>
    <row r="158" ht="12.75">
      <c r="D158" s="178"/>
    </row>
    <row r="159" ht="12.75">
      <c r="D159" s="178"/>
    </row>
    <row r="160" ht="12.75">
      <c r="D160" s="178"/>
    </row>
    <row r="161" ht="12.75">
      <c r="D161" s="178"/>
    </row>
    <row r="162" ht="12.75">
      <c r="D162" s="178"/>
    </row>
    <row r="163" ht="12.75">
      <c r="D163" s="178"/>
    </row>
    <row r="164" ht="12.75">
      <c r="D164" s="178"/>
    </row>
    <row r="165" ht="12.75">
      <c r="D165" s="178"/>
    </row>
    <row r="166" ht="12.75">
      <c r="D166" s="178"/>
    </row>
    <row r="167" ht="12.75">
      <c r="D167" s="178"/>
    </row>
    <row r="168" ht="12.75">
      <c r="D168" s="178"/>
    </row>
    <row r="169" ht="12.75">
      <c r="D169" s="178"/>
    </row>
    <row r="170" ht="12.75">
      <c r="D170" s="178"/>
    </row>
    <row r="171" ht="12.75">
      <c r="D171" s="178"/>
    </row>
    <row r="172" ht="12.75">
      <c r="D172" s="178"/>
    </row>
    <row r="173" ht="12.75">
      <c r="D173" s="178"/>
    </row>
    <row r="174" ht="12.75">
      <c r="D174" s="178"/>
    </row>
    <row r="175" ht="12.75">
      <c r="D175" s="178"/>
    </row>
    <row r="176" ht="12.75">
      <c r="D176" s="178"/>
    </row>
    <row r="177" ht="12.75">
      <c r="D177" s="178"/>
    </row>
    <row r="178" ht="12.75">
      <c r="D178" s="178"/>
    </row>
    <row r="179" ht="12.75">
      <c r="D179" s="178"/>
    </row>
    <row r="180" ht="12.75">
      <c r="D180" s="178"/>
    </row>
    <row r="181" ht="12.75">
      <c r="D181" s="178"/>
    </row>
    <row r="182" ht="12.75">
      <c r="D182" s="178"/>
    </row>
    <row r="183" ht="12.75">
      <c r="D183" s="178"/>
    </row>
    <row r="184" ht="12.75">
      <c r="D184" s="178"/>
    </row>
    <row r="185" ht="12.75">
      <c r="D185" s="178"/>
    </row>
    <row r="186" ht="12.75">
      <c r="D186" s="178"/>
    </row>
    <row r="187" ht="12.75">
      <c r="D187" s="178"/>
    </row>
    <row r="188" ht="12.75">
      <c r="D188" s="178"/>
    </row>
    <row r="189" ht="12.75">
      <c r="D189" s="178"/>
    </row>
    <row r="190" ht="12.75">
      <c r="D190" s="178"/>
    </row>
    <row r="191" ht="12.75">
      <c r="D191" s="178"/>
    </row>
    <row r="192" ht="12.75">
      <c r="D192" s="178"/>
    </row>
    <row r="193" ht="12.75">
      <c r="D193" s="178"/>
    </row>
    <row r="194" ht="12.75">
      <c r="D194" s="178"/>
    </row>
    <row r="195" ht="12.75">
      <c r="D195" s="178"/>
    </row>
    <row r="196" ht="12.75">
      <c r="D196" s="178"/>
    </row>
    <row r="197" ht="12.75">
      <c r="D197" s="178"/>
    </row>
    <row r="198" ht="12.75">
      <c r="D198" s="178"/>
    </row>
    <row r="199" ht="12.75">
      <c r="D199" s="178"/>
    </row>
    <row r="200" ht="12.75">
      <c r="D200" s="178"/>
    </row>
    <row r="201" ht="12.75">
      <c r="D201" s="178"/>
    </row>
    <row r="202" ht="12.75">
      <c r="D202" s="178"/>
    </row>
    <row r="203" ht="12.75">
      <c r="D203" s="178"/>
    </row>
    <row r="204" ht="12.75">
      <c r="D204" s="178"/>
    </row>
    <row r="205" ht="12.75">
      <c r="D205" s="178"/>
    </row>
    <row r="206" ht="12.75">
      <c r="D206" s="178"/>
    </row>
    <row r="207" ht="12.75">
      <c r="D207" s="178"/>
    </row>
    <row r="208" ht="12.75">
      <c r="D208" s="178"/>
    </row>
    <row r="209" ht="12.75">
      <c r="D209" s="178"/>
    </row>
    <row r="210" ht="12.75">
      <c r="D210" s="178"/>
    </row>
    <row r="211" ht="12.75">
      <c r="D211" s="178"/>
    </row>
    <row r="212" ht="12.75">
      <c r="D212" s="178"/>
    </row>
    <row r="213" ht="12.75">
      <c r="D213" s="178"/>
    </row>
    <row r="214" ht="12.75">
      <c r="D214" s="178"/>
    </row>
    <row r="215" ht="12.75">
      <c r="D215" s="178"/>
    </row>
    <row r="216" ht="12.75">
      <c r="D216" s="178"/>
    </row>
    <row r="217" ht="12.75">
      <c r="D217" s="178"/>
    </row>
    <row r="218" ht="12.75">
      <c r="D218" s="178"/>
    </row>
    <row r="219" ht="12.75">
      <c r="D219" s="178"/>
    </row>
    <row r="220" ht="12.75">
      <c r="D220" s="178"/>
    </row>
    <row r="221" ht="12.75">
      <c r="D221" s="178"/>
    </row>
    <row r="222" ht="12.75">
      <c r="D222" s="178"/>
    </row>
    <row r="223" ht="12.75">
      <c r="D223" s="178"/>
    </row>
    <row r="224" ht="12.75">
      <c r="D224" s="178"/>
    </row>
    <row r="225" ht="12.75">
      <c r="D225" s="178"/>
    </row>
    <row r="226" ht="12.75">
      <c r="D226" s="178"/>
    </row>
    <row r="227" ht="12.75">
      <c r="D227" s="178"/>
    </row>
    <row r="228" ht="12.75">
      <c r="D228" s="178"/>
    </row>
    <row r="229" ht="12.75">
      <c r="D229" s="178"/>
    </row>
    <row r="230" ht="12.75">
      <c r="D230" s="178"/>
    </row>
    <row r="231" ht="12.75">
      <c r="D231" s="178"/>
    </row>
    <row r="232" ht="12.75">
      <c r="D232" s="178"/>
    </row>
    <row r="233" ht="12.75">
      <c r="D233" s="178"/>
    </row>
    <row r="234" ht="12.75">
      <c r="D234" s="178"/>
    </row>
    <row r="235" ht="12.75">
      <c r="D235" s="178"/>
    </row>
    <row r="236" ht="12.75">
      <c r="D236" s="178"/>
    </row>
    <row r="237" ht="12.75">
      <c r="D237" s="178"/>
    </row>
    <row r="238" ht="12.75">
      <c r="D238" s="178"/>
    </row>
    <row r="239" ht="12.75">
      <c r="D239" s="178"/>
    </row>
    <row r="240" ht="12.75">
      <c r="D240" s="178"/>
    </row>
    <row r="241" ht="12.75">
      <c r="D241" s="178"/>
    </row>
    <row r="242" ht="12.75">
      <c r="D242" s="178"/>
    </row>
    <row r="243" ht="12.75">
      <c r="D243" s="178"/>
    </row>
    <row r="244" ht="12.75">
      <c r="D244" s="178"/>
    </row>
    <row r="245" ht="12.75">
      <c r="D245" s="178"/>
    </row>
    <row r="246" ht="12.75">
      <c r="D246" s="178"/>
    </row>
    <row r="247" ht="12.75">
      <c r="D247" s="178"/>
    </row>
    <row r="248" ht="12.75">
      <c r="D248" s="178"/>
    </row>
    <row r="249" ht="12.75">
      <c r="D249" s="178"/>
    </row>
    <row r="250" ht="12.75">
      <c r="D250" s="178"/>
    </row>
    <row r="251" ht="12.75">
      <c r="D251" s="178"/>
    </row>
  </sheetData>
  <sheetProtection/>
  <mergeCells count="13">
    <mergeCell ref="A2:D2"/>
    <mergeCell ref="A3:D3"/>
    <mergeCell ref="A6:A7"/>
    <mergeCell ref="C10:D14"/>
    <mergeCell ref="A4:D4"/>
    <mergeCell ref="B6:B7"/>
    <mergeCell ref="C6:C7"/>
    <mergeCell ref="D6:D7"/>
    <mergeCell ref="A37:B37"/>
    <mergeCell ref="A9:D9"/>
    <mergeCell ref="C16:D21"/>
    <mergeCell ref="C28:D35"/>
    <mergeCell ref="C23:D26"/>
  </mergeCells>
  <printOptions horizontalCentered="1"/>
  <pageMargins left="0.78" right="0.22" top="0.75" bottom="0.25" header="0.5118110236220472" footer="0.2"/>
  <pageSetup horizontalDpi="600" verticalDpi="600" orientation="portrait" paperSize="9" r:id="rId1"/>
  <colBreaks count="1" manualBreakCount="1">
    <brk id="4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38"/>
  <sheetViews>
    <sheetView showGridLines="0" zoomScale="75" zoomScaleNormal="75" zoomScaleSheetLayoutView="85" zoomScalePageLayoutView="0" workbookViewId="0" topLeftCell="AP27">
      <selection activeCell="BC38" sqref="BC38"/>
    </sheetView>
  </sheetViews>
  <sheetFormatPr defaultColWidth="8.875" defaultRowHeight="12.75"/>
  <cols>
    <col min="1" max="1" width="51.875" style="36" customWidth="1"/>
    <col min="2" max="2" width="14.25390625" style="36" customWidth="1"/>
    <col min="3" max="6" width="15.875" style="36" customWidth="1"/>
    <col min="7" max="7" width="16.125" style="36" customWidth="1"/>
    <col min="8" max="8" width="13.75390625" style="36" customWidth="1"/>
    <col min="9" max="9" width="1.00390625" style="36" customWidth="1"/>
    <col min="10" max="10" width="53.625" style="36" customWidth="1"/>
    <col min="11" max="11" width="13.25390625" style="36" customWidth="1"/>
    <col min="12" max="15" width="11.00390625" style="36" customWidth="1"/>
    <col min="16" max="19" width="11.375" style="36" customWidth="1"/>
    <col min="20" max="20" width="46.25390625" style="36" customWidth="1"/>
    <col min="21" max="26" width="11.75390625" style="36" customWidth="1"/>
    <col min="27" max="32" width="10.625" style="36" customWidth="1"/>
    <col min="33" max="33" width="45.875" style="36" customWidth="1"/>
    <col min="34" max="45" width="10.625" style="36" customWidth="1"/>
    <col min="46" max="46" width="48.25390625" style="36" customWidth="1"/>
    <col min="47" max="54" width="10.875" style="36" customWidth="1"/>
    <col min="55" max="55" width="24.875" style="36" customWidth="1"/>
    <col min="56" max="16384" width="8.875" style="36" customWidth="1"/>
  </cols>
  <sheetData>
    <row r="1" spans="8:55" ht="18" customHeight="1" thickBot="1">
      <c r="H1" s="381" t="s">
        <v>781</v>
      </c>
      <c r="I1" s="178"/>
      <c r="S1" s="381" t="s">
        <v>782</v>
      </c>
      <c r="T1" s="381"/>
      <c r="AF1" s="381" t="s">
        <v>783</v>
      </c>
      <c r="AG1" s="381"/>
      <c r="AS1" s="381" t="s">
        <v>782</v>
      </c>
      <c r="AT1" s="381"/>
      <c r="BB1" s="381" t="s">
        <v>783</v>
      </c>
      <c r="BC1" s="353"/>
    </row>
    <row r="2" spans="1:55" ht="24" thickBot="1">
      <c r="A2" s="1221" t="s">
        <v>780</v>
      </c>
      <c r="B2" s="1221"/>
      <c r="C2" s="1221"/>
      <c r="D2" s="1221"/>
      <c r="E2" s="1221"/>
      <c r="F2" s="1221"/>
      <c r="G2" s="1221"/>
      <c r="H2" s="1221"/>
      <c r="I2" s="178"/>
      <c r="J2" s="1230" t="s">
        <v>635</v>
      </c>
      <c r="K2" s="1231"/>
      <c r="L2" s="1211" t="s">
        <v>473</v>
      </c>
      <c r="M2" s="1212"/>
      <c r="N2" s="1212"/>
      <c r="O2" s="1213"/>
      <c r="P2" s="1211" t="s">
        <v>472</v>
      </c>
      <c r="Q2" s="1212"/>
      <c r="R2" s="1212"/>
      <c r="S2" s="1213"/>
      <c r="T2" s="697" t="s">
        <v>630</v>
      </c>
      <c r="U2" s="1211" t="s">
        <v>470</v>
      </c>
      <c r="V2" s="1212"/>
      <c r="W2" s="1212"/>
      <c r="X2" s="1213"/>
      <c r="Y2" s="1211" t="s">
        <v>401</v>
      </c>
      <c r="Z2" s="1212"/>
      <c r="AA2" s="1212"/>
      <c r="AB2" s="1213"/>
      <c r="AC2" s="1211" t="s">
        <v>402</v>
      </c>
      <c r="AD2" s="1212"/>
      <c r="AE2" s="1212"/>
      <c r="AF2" s="1213"/>
      <c r="AG2" s="697" t="s">
        <v>630</v>
      </c>
      <c r="AH2" s="1211" t="s">
        <v>404</v>
      </c>
      <c r="AI2" s="1212"/>
      <c r="AJ2" s="1212"/>
      <c r="AK2" s="1213"/>
      <c r="AL2" s="1211" t="s">
        <v>405</v>
      </c>
      <c r="AM2" s="1212"/>
      <c r="AN2" s="1212"/>
      <c r="AO2" s="1213"/>
      <c r="AP2" s="1211" t="s">
        <v>400</v>
      </c>
      <c r="AQ2" s="1212"/>
      <c r="AR2" s="1212"/>
      <c r="AS2" s="1213"/>
      <c r="AT2" s="697" t="s">
        <v>630</v>
      </c>
      <c r="AU2" s="1211" t="s">
        <v>398</v>
      </c>
      <c r="AV2" s="1212"/>
      <c r="AW2" s="1212"/>
      <c r="AX2" s="1213"/>
      <c r="AY2" s="1211" t="s">
        <v>399</v>
      </c>
      <c r="AZ2" s="1212"/>
      <c r="BA2" s="1212"/>
      <c r="BB2" s="1213"/>
      <c r="BC2" s="353"/>
    </row>
    <row r="3" spans="9:55" ht="6.75" customHeight="1" thickBot="1"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353"/>
    </row>
    <row r="4" spans="1:55" ht="23.25" customHeight="1" thickBot="1" thickTop="1">
      <c r="A4" s="1222" t="s">
        <v>727</v>
      </c>
      <c r="B4" s="1180" t="s">
        <v>192</v>
      </c>
      <c r="C4" s="1224" t="s">
        <v>706</v>
      </c>
      <c r="D4" s="1225"/>
      <c r="E4" s="1225"/>
      <c r="F4" s="1225"/>
      <c r="G4" s="1226"/>
      <c r="H4" s="1203" t="s">
        <v>146</v>
      </c>
      <c r="I4" s="178"/>
      <c r="J4" s="1222" t="s">
        <v>727</v>
      </c>
      <c r="K4" s="1182" t="s">
        <v>708</v>
      </c>
      <c r="L4" s="1227" t="s">
        <v>409</v>
      </c>
      <c r="M4" s="1228"/>
      <c r="N4" s="1228"/>
      <c r="O4" s="1229"/>
      <c r="P4" s="1208" t="s">
        <v>409</v>
      </c>
      <c r="Q4" s="1209"/>
      <c r="R4" s="1209"/>
      <c r="S4" s="1210"/>
      <c r="T4" s="1175" t="s">
        <v>727</v>
      </c>
      <c r="U4" s="1214" t="s">
        <v>409</v>
      </c>
      <c r="V4" s="1215"/>
      <c r="W4" s="1215"/>
      <c r="X4" s="1216"/>
      <c r="Y4" s="1208" t="s">
        <v>409</v>
      </c>
      <c r="Z4" s="1209"/>
      <c r="AA4" s="1209"/>
      <c r="AB4" s="1210"/>
      <c r="AC4" s="1214" t="s">
        <v>409</v>
      </c>
      <c r="AD4" s="1215"/>
      <c r="AE4" s="1215"/>
      <c r="AF4" s="1216"/>
      <c r="AG4" s="1175" t="s">
        <v>727</v>
      </c>
      <c r="AH4" s="1208" t="s">
        <v>409</v>
      </c>
      <c r="AI4" s="1209"/>
      <c r="AJ4" s="1209"/>
      <c r="AK4" s="1210"/>
      <c r="AL4" s="1214" t="s">
        <v>409</v>
      </c>
      <c r="AM4" s="1215"/>
      <c r="AN4" s="1215"/>
      <c r="AO4" s="1216"/>
      <c r="AP4" s="1208" t="s">
        <v>409</v>
      </c>
      <c r="AQ4" s="1209"/>
      <c r="AR4" s="1209"/>
      <c r="AS4" s="1210"/>
      <c r="AT4" s="1175" t="s">
        <v>727</v>
      </c>
      <c r="AU4" s="1214" t="s">
        <v>409</v>
      </c>
      <c r="AV4" s="1215"/>
      <c r="AW4" s="1215"/>
      <c r="AX4" s="1216"/>
      <c r="AY4" s="1208" t="s">
        <v>409</v>
      </c>
      <c r="AZ4" s="1209"/>
      <c r="BA4" s="1209"/>
      <c r="BB4" s="1210"/>
      <c r="BC4" s="353"/>
    </row>
    <row r="5" spans="1:55" ht="21.75" customHeight="1" thickBot="1" thickTop="1">
      <c r="A5" s="1223"/>
      <c r="B5" s="1181"/>
      <c r="C5" s="634" t="s">
        <v>473</v>
      </c>
      <c r="D5" s="634" t="s">
        <v>472</v>
      </c>
      <c r="E5" s="634" t="s">
        <v>470</v>
      </c>
      <c r="F5" s="634" t="s">
        <v>401</v>
      </c>
      <c r="G5" s="634" t="s">
        <v>402</v>
      </c>
      <c r="H5" s="1204"/>
      <c r="I5" s="178"/>
      <c r="J5" s="1223"/>
      <c r="K5" s="1183"/>
      <c r="L5" s="681" t="s">
        <v>461</v>
      </c>
      <c r="M5" s="681" t="s">
        <v>462</v>
      </c>
      <c r="N5" s="681" t="s">
        <v>463</v>
      </c>
      <c r="O5" s="681" t="s">
        <v>464</v>
      </c>
      <c r="P5" s="680" t="s">
        <v>461</v>
      </c>
      <c r="Q5" s="680" t="s">
        <v>462</v>
      </c>
      <c r="R5" s="680" t="s">
        <v>463</v>
      </c>
      <c r="S5" s="680" t="s">
        <v>464</v>
      </c>
      <c r="T5" s="1176"/>
      <c r="U5" s="679" t="s">
        <v>461</v>
      </c>
      <c r="V5" s="679" t="s">
        <v>462</v>
      </c>
      <c r="W5" s="679" t="s">
        <v>463</v>
      </c>
      <c r="X5" s="679" t="s">
        <v>464</v>
      </c>
      <c r="Y5" s="680" t="s">
        <v>461</v>
      </c>
      <c r="Z5" s="680" t="s">
        <v>462</v>
      </c>
      <c r="AA5" s="680" t="s">
        <v>463</v>
      </c>
      <c r="AB5" s="680" t="s">
        <v>464</v>
      </c>
      <c r="AC5" s="679" t="s">
        <v>461</v>
      </c>
      <c r="AD5" s="679" t="s">
        <v>462</v>
      </c>
      <c r="AE5" s="679" t="s">
        <v>463</v>
      </c>
      <c r="AF5" s="679" t="s">
        <v>464</v>
      </c>
      <c r="AG5" s="1176"/>
      <c r="AH5" s="680" t="s">
        <v>461</v>
      </c>
      <c r="AI5" s="680" t="s">
        <v>462</v>
      </c>
      <c r="AJ5" s="680" t="s">
        <v>463</v>
      </c>
      <c r="AK5" s="680" t="s">
        <v>464</v>
      </c>
      <c r="AL5" s="679" t="s">
        <v>461</v>
      </c>
      <c r="AM5" s="679" t="s">
        <v>462</v>
      </c>
      <c r="AN5" s="679" t="s">
        <v>463</v>
      </c>
      <c r="AO5" s="679" t="s">
        <v>464</v>
      </c>
      <c r="AP5" s="680" t="s">
        <v>461</v>
      </c>
      <c r="AQ5" s="680" t="s">
        <v>462</v>
      </c>
      <c r="AR5" s="680" t="s">
        <v>463</v>
      </c>
      <c r="AS5" s="680" t="s">
        <v>464</v>
      </c>
      <c r="AT5" s="1176"/>
      <c r="AU5" s="679" t="s">
        <v>461</v>
      </c>
      <c r="AV5" s="679" t="s">
        <v>462</v>
      </c>
      <c r="AW5" s="679" t="s">
        <v>463</v>
      </c>
      <c r="AX5" s="679" t="s">
        <v>464</v>
      </c>
      <c r="AY5" s="680" t="s">
        <v>461</v>
      </c>
      <c r="AZ5" s="680" t="s">
        <v>462</v>
      </c>
      <c r="BA5" s="680" t="s">
        <v>463</v>
      </c>
      <c r="BB5" s="680" t="s">
        <v>464</v>
      </c>
      <c r="BC5" s="353"/>
    </row>
    <row r="6" spans="1:55" ht="0.75" customHeight="1" thickTop="1">
      <c r="A6" s="643"/>
      <c r="B6" s="644"/>
      <c r="C6" s="645"/>
      <c r="D6" s="645"/>
      <c r="E6" s="645"/>
      <c r="F6" s="645"/>
      <c r="G6" s="645"/>
      <c r="H6" s="646"/>
      <c r="I6" s="178"/>
      <c r="J6" s="643"/>
      <c r="K6" s="674"/>
      <c r="L6" s="675"/>
      <c r="M6" s="675"/>
      <c r="N6" s="675"/>
      <c r="O6" s="676"/>
      <c r="P6" s="677"/>
      <c r="Q6" s="677"/>
      <c r="R6" s="677"/>
      <c r="S6" s="678"/>
      <c r="T6" s="694"/>
      <c r="U6" s="675"/>
      <c r="V6" s="675"/>
      <c r="W6" s="675"/>
      <c r="X6" s="676"/>
      <c r="Y6" s="677"/>
      <c r="Z6" s="677"/>
      <c r="AA6" s="677"/>
      <c r="AB6" s="678"/>
      <c r="AC6" s="675"/>
      <c r="AD6" s="675"/>
      <c r="AE6" s="675"/>
      <c r="AF6" s="676"/>
      <c r="AG6" s="694"/>
      <c r="AH6" s="677"/>
      <c r="AI6" s="677"/>
      <c r="AJ6" s="677"/>
      <c r="AK6" s="678"/>
      <c r="AL6" s="675"/>
      <c r="AM6" s="675"/>
      <c r="AN6" s="675"/>
      <c r="AO6" s="676"/>
      <c r="AP6" s="677"/>
      <c r="AQ6" s="677"/>
      <c r="AR6" s="677"/>
      <c r="AS6" s="678"/>
      <c r="AT6" s="694"/>
      <c r="AU6" s="675"/>
      <c r="AV6" s="675"/>
      <c r="AW6" s="675"/>
      <c r="AX6" s="676"/>
      <c r="AY6" s="677"/>
      <c r="AZ6" s="677"/>
      <c r="BA6" s="677"/>
      <c r="BB6" s="678"/>
      <c r="BC6" s="353"/>
    </row>
    <row r="7" spans="1:55" ht="29.25" customHeight="1">
      <c r="A7" s="1205" t="s">
        <v>144</v>
      </c>
      <c r="B7" s="1205"/>
      <c r="C7" s="1205"/>
      <c r="D7" s="1205"/>
      <c r="E7" s="1205"/>
      <c r="F7" s="1205"/>
      <c r="G7" s="1205"/>
      <c r="H7" s="1205"/>
      <c r="I7" s="178"/>
      <c r="J7" s="1193" t="s">
        <v>707</v>
      </c>
      <c r="K7" s="1193"/>
      <c r="L7" s="1193"/>
      <c r="M7" s="1193"/>
      <c r="N7" s="1193"/>
      <c r="O7" s="1193"/>
      <c r="P7" s="1193"/>
      <c r="Q7" s="1193"/>
      <c r="R7" s="1193"/>
      <c r="S7" s="1193"/>
      <c r="T7" s="1207" t="s">
        <v>707</v>
      </c>
      <c r="U7" s="1207"/>
      <c r="V7" s="1207"/>
      <c r="W7" s="1207"/>
      <c r="X7" s="1207"/>
      <c r="Y7" s="1207"/>
      <c r="Z7" s="1207"/>
      <c r="AA7" s="1207"/>
      <c r="AB7" s="1207"/>
      <c r="AC7" s="1207"/>
      <c r="AD7" s="1207"/>
      <c r="AE7" s="1207"/>
      <c r="AF7" s="1207"/>
      <c r="AG7" s="1207" t="s">
        <v>707</v>
      </c>
      <c r="AH7" s="1207"/>
      <c r="AI7" s="1207"/>
      <c r="AJ7" s="1207"/>
      <c r="AK7" s="1207"/>
      <c r="AL7" s="1207"/>
      <c r="AM7" s="1207"/>
      <c r="AN7" s="1207"/>
      <c r="AO7" s="1207"/>
      <c r="AP7" s="1207"/>
      <c r="AQ7" s="1207"/>
      <c r="AR7" s="1207"/>
      <c r="AS7" s="1207"/>
      <c r="AT7" s="1207" t="s">
        <v>707</v>
      </c>
      <c r="AU7" s="1207"/>
      <c r="AV7" s="1207"/>
      <c r="AW7" s="1207"/>
      <c r="AX7" s="1207"/>
      <c r="AY7" s="1207"/>
      <c r="AZ7" s="1207"/>
      <c r="BA7" s="1207"/>
      <c r="BB7" s="1207"/>
      <c r="BC7" s="353"/>
    </row>
    <row r="8" spans="1:55" ht="15.75">
      <c r="A8" s="1206" t="s">
        <v>141</v>
      </c>
      <c r="B8" s="1206"/>
      <c r="C8" s="652">
        <f>ОФ_С!C15</f>
        <v>0</v>
      </c>
      <c r="D8" s="648">
        <f>C8-C9</f>
        <v>0</v>
      </c>
      <c r="E8" s="648">
        <f>D8-D9</f>
        <v>0</v>
      </c>
      <c r="F8" s="648">
        <f>E8-E9</f>
        <v>0</v>
      </c>
      <c r="G8" s="648">
        <f>F8-F9</f>
        <v>0</v>
      </c>
      <c r="H8" s="649"/>
      <c r="I8" s="178"/>
      <c r="J8" s="1206" t="s">
        <v>141</v>
      </c>
      <c r="K8" s="1206"/>
      <c r="L8" s="687">
        <f>C8</f>
        <v>0</v>
      </c>
      <c r="M8" s="684">
        <f aca="true" t="shared" si="0" ref="M8:S8">L8-L9</f>
        <v>0</v>
      </c>
      <c r="N8" s="684">
        <f t="shared" si="0"/>
        <v>0</v>
      </c>
      <c r="O8" s="684">
        <f t="shared" si="0"/>
        <v>0</v>
      </c>
      <c r="P8" s="684">
        <f t="shared" si="0"/>
        <v>0</v>
      </c>
      <c r="Q8" s="684">
        <f t="shared" si="0"/>
        <v>0</v>
      </c>
      <c r="R8" s="684">
        <f t="shared" si="0"/>
        <v>0</v>
      </c>
      <c r="S8" s="684">
        <f t="shared" si="0"/>
        <v>0</v>
      </c>
      <c r="T8" s="684" t="s">
        <v>621</v>
      </c>
      <c r="U8" s="684">
        <f>S8-S9</f>
        <v>0</v>
      </c>
      <c r="V8" s="684">
        <f>U8-U9</f>
        <v>0</v>
      </c>
      <c r="W8" s="684">
        <f aca="true" t="shared" si="1" ref="W8:AD8">V8-V9</f>
        <v>0</v>
      </c>
      <c r="X8" s="684">
        <f t="shared" si="1"/>
        <v>0</v>
      </c>
      <c r="Y8" s="684">
        <f t="shared" si="1"/>
        <v>0</v>
      </c>
      <c r="Z8" s="684">
        <f t="shared" si="1"/>
        <v>0</v>
      </c>
      <c r="AA8" s="684">
        <f t="shared" si="1"/>
        <v>0</v>
      </c>
      <c r="AB8" s="684">
        <f t="shared" si="1"/>
        <v>0</v>
      </c>
      <c r="AC8" s="684">
        <f t="shared" si="1"/>
        <v>0</v>
      </c>
      <c r="AD8" s="684">
        <f t="shared" si="1"/>
        <v>0</v>
      </c>
      <c r="AE8" s="684">
        <f aca="true" t="shared" si="2" ref="AE8:BB8">AD8-AD9</f>
        <v>0</v>
      </c>
      <c r="AF8" s="684">
        <f t="shared" si="2"/>
        <v>0</v>
      </c>
      <c r="AG8" s="684" t="s">
        <v>621</v>
      </c>
      <c r="AH8" s="684">
        <f>AF8-AF9</f>
        <v>0</v>
      </c>
      <c r="AI8" s="684">
        <f t="shared" si="2"/>
        <v>0</v>
      </c>
      <c r="AJ8" s="684">
        <f t="shared" si="2"/>
        <v>0</v>
      </c>
      <c r="AK8" s="684">
        <f t="shared" si="2"/>
        <v>0</v>
      </c>
      <c r="AL8" s="684">
        <f t="shared" si="2"/>
        <v>0</v>
      </c>
      <c r="AM8" s="684">
        <f t="shared" si="2"/>
        <v>0</v>
      </c>
      <c r="AN8" s="684">
        <f t="shared" si="2"/>
        <v>0</v>
      </c>
      <c r="AO8" s="684">
        <f t="shared" si="2"/>
        <v>0</v>
      </c>
      <c r="AP8" s="684">
        <f t="shared" si="2"/>
        <v>0</v>
      </c>
      <c r="AQ8" s="684">
        <f t="shared" si="2"/>
        <v>0</v>
      </c>
      <c r="AR8" s="684">
        <f t="shared" si="2"/>
        <v>0</v>
      </c>
      <c r="AS8" s="684">
        <f t="shared" si="2"/>
        <v>0</v>
      </c>
      <c r="AT8" s="684" t="s">
        <v>621</v>
      </c>
      <c r="AU8" s="684">
        <f>AS8-AS9</f>
        <v>0</v>
      </c>
      <c r="AV8" s="684">
        <f t="shared" si="2"/>
        <v>0</v>
      </c>
      <c r="AW8" s="684">
        <f t="shared" si="2"/>
        <v>0</v>
      </c>
      <c r="AX8" s="684">
        <f t="shared" si="2"/>
        <v>0</v>
      </c>
      <c r="AY8" s="684">
        <f t="shared" si="2"/>
        <v>0</v>
      </c>
      <c r="AZ8" s="684">
        <f t="shared" si="2"/>
        <v>0</v>
      </c>
      <c r="BA8" s="684">
        <f t="shared" si="2"/>
        <v>0</v>
      </c>
      <c r="BB8" s="684">
        <f t="shared" si="2"/>
        <v>0</v>
      </c>
      <c r="BC8" s="353"/>
    </row>
    <row r="9" spans="1:55" ht="20.25" customHeight="1" thickBot="1">
      <c r="A9" s="641" t="s">
        <v>193</v>
      </c>
      <c r="B9" s="639">
        <v>0.05</v>
      </c>
      <c r="C9" s="667">
        <f>C8*$C$38</f>
        <v>0</v>
      </c>
      <c r="D9" s="667">
        <f>D8*$C$38</f>
        <v>0</v>
      </c>
      <c r="E9" s="667">
        <f>E8*$C$38</f>
        <v>0</v>
      </c>
      <c r="F9" s="667">
        <f>F8*$C$38</f>
        <v>0</v>
      </c>
      <c r="G9" s="667">
        <f>G8*$C$38</f>
        <v>0</v>
      </c>
      <c r="H9" s="651">
        <f>SUM(C9:G9)</f>
        <v>0</v>
      </c>
      <c r="I9" s="178"/>
      <c r="J9" s="641" t="s">
        <v>193</v>
      </c>
      <c r="K9" s="663">
        <v>0.0125</v>
      </c>
      <c r="L9" s="689">
        <f aca="true" t="shared" si="3" ref="L9:S9">L8*$K$9</f>
        <v>0</v>
      </c>
      <c r="M9" s="689">
        <f t="shared" si="3"/>
        <v>0</v>
      </c>
      <c r="N9" s="689">
        <f t="shared" si="3"/>
        <v>0</v>
      </c>
      <c r="O9" s="689">
        <f t="shared" si="3"/>
        <v>0</v>
      </c>
      <c r="P9" s="689">
        <f t="shared" si="3"/>
        <v>0</v>
      </c>
      <c r="Q9" s="689">
        <f t="shared" si="3"/>
        <v>0</v>
      </c>
      <c r="R9" s="689">
        <f t="shared" si="3"/>
        <v>0</v>
      </c>
      <c r="S9" s="689">
        <f t="shared" si="3"/>
        <v>0</v>
      </c>
      <c r="T9" s="695" t="s">
        <v>622</v>
      </c>
      <c r="U9" s="691">
        <f aca="true" t="shared" si="4" ref="U9:AF9">U8*$K$9</f>
        <v>0</v>
      </c>
      <c r="V9" s="691">
        <f t="shared" si="4"/>
        <v>0</v>
      </c>
      <c r="W9" s="691">
        <f t="shared" si="4"/>
        <v>0</v>
      </c>
      <c r="X9" s="691">
        <f t="shared" si="4"/>
        <v>0</v>
      </c>
      <c r="Y9" s="689">
        <f t="shared" si="4"/>
        <v>0</v>
      </c>
      <c r="Z9" s="689">
        <f t="shared" si="4"/>
        <v>0</v>
      </c>
      <c r="AA9" s="689">
        <f t="shared" si="4"/>
        <v>0</v>
      </c>
      <c r="AB9" s="689">
        <f t="shared" si="4"/>
        <v>0</v>
      </c>
      <c r="AC9" s="691">
        <f t="shared" si="4"/>
        <v>0</v>
      </c>
      <c r="AD9" s="691">
        <f t="shared" si="4"/>
        <v>0</v>
      </c>
      <c r="AE9" s="691">
        <f t="shared" si="4"/>
        <v>0</v>
      </c>
      <c r="AF9" s="691">
        <f t="shared" si="4"/>
        <v>0</v>
      </c>
      <c r="AG9" s="695" t="s">
        <v>622</v>
      </c>
      <c r="AH9" s="689">
        <f aca="true" t="shared" si="5" ref="AH9:AS9">AH8*$K$9</f>
        <v>0</v>
      </c>
      <c r="AI9" s="689">
        <f t="shared" si="5"/>
        <v>0</v>
      </c>
      <c r="AJ9" s="689">
        <f t="shared" si="5"/>
        <v>0</v>
      </c>
      <c r="AK9" s="689">
        <f t="shared" si="5"/>
        <v>0</v>
      </c>
      <c r="AL9" s="691">
        <f t="shared" si="5"/>
        <v>0</v>
      </c>
      <c r="AM9" s="691">
        <f t="shared" si="5"/>
        <v>0</v>
      </c>
      <c r="AN9" s="691">
        <f t="shared" si="5"/>
        <v>0</v>
      </c>
      <c r="AO9" s="691">
        <f t="shared" si="5"/>
        <v>0</v>
      </c>
      <c r="AP9" s="689">
        <f t="shared" si="5"/>
        <v>0</v>
      </c>
      <c r="AQ9" s="689">
        <f t="shared" si="5"/>
        <v>0</v>
      </c>
      <c r="AR9" s="689">
        <f t="shared" si="5"/>
        <v>0</v>
      </c>
      <c r="AS9" s="689">
        <f t="shared" si="5"/>
        <v>0</v>
      </c>
      <c r="AT9" s="695" t="s">
        <v>622</v>
      </c>
      <c r="AU9" s="691">
        <f aca="true" t="shared" si="6" ref="AU9:BB9">AU8*$K$9</f>
        <v>0</v>
      </c>
      <c r="AV9" s="691">
        <f t="shared" si="6"/>
        <v>0</v>
      </c>
      <c r="AW9" s="691">
        <f t="shared" si="6"/>
        <v>0</v>
      </c>
      <c r="AX9" s="691">
        <f t="shared" si="6"/>
        <v>0</v>
      </c>
      <c r="AY9" s="689">
        <f t="shared" si="6"/>
        <v>0</v>
      </c>
      <c r="AZ9" s="689">
        <f t="shared" si="6"/>
        <v>0</v>
      </c>
      <c r="BA9" s="689">
        <f t="shared" si="6"/>
        <v>0</v>
      </c>
      <c r="BB9" s="689">
        <f t="shared" si="6"/>
        <v>0</v>
      </c>
      <c r="BC9" s="353"/>
    </row>
    <row r="10" spans="1:55" ht="15.75">
      <c r="A10" s="1218" t="s">
        <v>142</v>
      </c>
      <c r="B10" s="1219"/>
      <c r="C10" s="654">
        <f>ОФ_С!C22</f>
        <v>58299.22</v>
      </c>
      <c r="D10" s="665">
        <f>C10-C11</f>
        <v>45034.75971221924</v>
      </c>
      <c r="E10" s="665">
        <f>D10-D11</f>
        <v>34788.27988328703</v>
      </c>
      <c r="F10" s="665">
        <f>E10-E11</f>
        <v>26873.118119680876</v>
      </c>
      <c r="G10" s="665">
        <f>F10-F11</f>
        <v>20758.844067517766</v>
      </c>
      <c r="H10" s="666"/>
      <c r="I10" s="178"/>
      <c r="J10" s="1218" t="s">
        <v>142</v>
      </c>
      <c r="K10" s="1219"/>
      <c r="L10" s="687">
        <f>C10</f>
        <v>58299.22</v>
      </c>
      <c r="M10" s="683">
        <f aca="true" t="shared" si="7" ref="M10:S10">L10-L11</f>
        <v>54655.51875</v>
      </c>
      <c r="N10" s="683">
        <f t="shared" si="7"/>
        <v>51239.548828125</v>
      </c>
      <c r="O10" s="683">
        <f t="shared" si="7"/>
        <v>48037.07702636719</v>
      </c>
      <c r="P10" s="683">
        <f t="shared" si="7"/>
        <v>45034.75971221924</v>
      </c>
      <c r="Q10" s="683">
        <f t="shared" si="7"/>
        <v>42220.087230205536</v>
      </c>
      <c r="R10" s="683">
        <f t="shared" si="7"/>
        <v>39581.33177831769</v>
      </c>
      <c r="S10" s="683">
        <f t="shared" si="7"/>
        <v>37107.498542172834</v>
      </c>
      <c r="T10" s="684" t="s">
        <v>623</v>
      </c>
      <c r="U10" s="683">
        <f>S10-S11</f>
        <v>34788.27988328703</v>
      </c>
      <c r="V10" s="683">
        <f>U10-U11</f>
        <v>32614.012390581593</v>
      </c>
      <c r="W10" s="683">
        <f aca="true" t="shared" si="8" ref="W10:AD10">V10-V11</f>
        <v>30575.636616170243</v>
      </c>
      <c r="X10" s="683">
        <f t="shared" si="8"/>
        <v>28664.659327659603</v>
      </c>
      <c r="Y10" s="683">
        <f t="shared" si="8"/>
        <v>26873.11811968088</v>
      </c>
      <c r="Z10" s="683">
        <f t="shared" si="8"/>
        <v>25193.548237200823</v>
      </c>
      <c r="AA10" s="683">
        <f t="shared" si="8"/>
        <v>23618.95147237577</v>
      </c>
      <c r="AB10" s="683">
        <f t="shared" si="8"/>
        <v>22142.767005352285</v>
      </c>
      <c r="AC10" s="683">
        <f t="shared" si="8"/>
        <v>20758.844067517766</v>
      </c>
      <c r="AD10" s="683">
        <f t="shared" si="8"/>
        <v>19461.416313297905</v>
      </c>
      <c r="AE10" s="683">
        <f aca="true" t="shared" si="9" ref="AE10:BB10">AD10-AD11</f>
        <v>18245.077793716784</v>
      </c>
      <c r="AF10" s="683">
        <f t="shared" si="9"/>
        <v>17104.760431609484</v>
      </c>
      <c r="AG10" s="684" t="s">
        <v>623</v>
      </c>
      <c r="AH10" s="683">
        <f>AF10-AF11</f>
        <v>16035.71290463389</v>
      </c>
      <c r="AI10" s="683">
        <f t="shared" si="9"/>
        <v>15033.480848094272</v>
      </c>
      <c r="AJ10" s="683">
        <f t="shared" si="9"/>
        <v>14093.88829508838</v>
      </c>
      <c r="AK10" s="683">
        <f t="shared" si="9"/>
        <v>13213.020276645357</v>
      </c>
      <c r="AL10" s="683">
        <f t="shared" si="9"/>
        <v>12387.206509355023</v>
      </c>
      <c r="AM10" s="683">
        <f t="shared" si="9"/>
        <v>11613.006102520334</v>
      </c>
      <c r="AN10" s="683">
        <f t="shared" si="9"/>
        <v>10887.193221112813</v>
      </c>
      <c r="AO10" s="683">
        <f t="shared" si="9"/>
        <v>10206.743644793263</v>
      </c>
      <c r="AP10" s="683">
        <f t="shared" si="9"/>
        <v>9568.822166993685</v>
      </c>
      <c r="AQ10" s="683">
        <f t="shared" si="9"/>
        <v>8970.77078155658</v>
      </c>
      <c r="AR10" s="683">
        <f t="shared" si="9"/>
        <v>8410.097607709293</v>
      </c>
      <c r="AS10" s="683">
        <f t="shared" si="9"/>
        <v>7884.466507227462</v>
      </c>
      <c r="AT10" s="684" t="s">
        <v>623</v>
      </c>
      <c r="AU10" s="683">
        <f>AS10-AS11</f>
        <v>7391.687350525745</v>
      </c>
      <c r="AV10" s="683">
        <f t="shared" si="9"/>
        <v>6929.706891117887</v>
      </c>
      <c r="AW10" s="683">
        <f t="shared" si="9"/>
        <v>6496.600210423019</v>
      </c>
      <c r="AX10" s="683">
        <f t="shared" si="9"/>
        <v>6090.562697271581</v>
      </c>
      <c r="AY10" s="683">
        <f t="shared" si="9"/>
        <v>5709.902528692107</v>
      </c>
      <c r="AZ10" s="683">
        <f t="shared" si="9"/>
        <v>5353.03362064885</v>
      </c>
      <c r="BA10" s="683">
        <f t="shared" si="9"/>
        <v>5018.469019358297</v>
      </c>
      <c r="BB10" s="683">
        <f t="shared" si="9"/>
        <v>4704.814705648404</v>
      </c>
      <c r="BC10" s="353"/>
    </row>
    <row r="11" spans="1:55" ht="20.25" customHeight="1" thickBot="1">
      <c r="A11" s="641" t="s">
        <v>194</v>
      </c>
      <c r="B11" s="639">
        <v>0.25</v>
      </c>
      <c r="C11" s="667">
        <f>C10*$C$39</f>
        <v>13264.460287780763</v>
      </c>
      <c r="D11" s="667">
        <f>D10*$C$39</f>
        <v>10246.479828932206</v>
      </c>
      <c r="E11" s="667">
        <f>E10*$C$39</f>
        <v>7915.161763606155</v>
      </c>
      <c r="F11" s="667">
        <f>F10*$C$39</f>
        <v>6114.274052163109</v>
      </c>
      <c r="G11" s="667">
        <f>G10*$C$39</f>
        <v>4723.131162883872</v>
      </c>
      <c r="H11" s="651">
        <f>SUM(C11:G11)</f>
        <v>42263.507095366105</v>
      </c>
      <c r="I11" s="178"/>
      <c r="J11" s="641" t="s">
        <v>194</v>
      </c>
      <c r="K11" s="663">
        <v>0.0625</v>
      </c>
      <c r="L11" s="690">
        <f>L10*$K$11</f>
        <v>3643.70125</v>
      </c>
      <c r="M11" s="690">
        <f aca="true" t="shared" si="10" ref="M11:S11">M10*$F$39</f>
        <v>3415.969921875</v>
      </c>
      <c r="N11" s="690">
        <f t="shared" si="10"/>
        <v>3202.4718017578125</v>
      </c>
      <c r="O11" s="690">
        <f t="shared" si="10"/>
        <v>3002.317314147949</v>
      </c>
      <c r="P11" s="690">
        <f t="shared" si="10"/>
        <v>2814.6724820137024</v>
      </c>
      <c r="Q11" s="690">
        <f t="shared" si="10"/>
        <v>2638.755451887846</v>
      </c>
      <c r="R11" s="690">
        <f t="shared" si="10"/>
        <v>2473.8332361448556</v>
      </c>
      <c r="S11" s="690">
        <f t="shared" si="10"/>
        <v>2319.218658885802</v>
      </c>
      <c r="T11" s="695" t="s">
        <v>624</v>
      </c>
      <c r="U11" s="692">
        <f aca="true" t="shared" si="11" ref="U11:AF11">U10*$F$39</f>
        <v>2174.2674927054395</v>
      </c>
      <c r="V11" s="692">
        <f t="shared" si="11"/>
        <v>2038.3757744113495</v>
      </c>
      <c r="W11" s="692">
        <f t="shared" si="11"/>
        <v>1910.9772885106402</v>
      </c>
      <c r="X11" s="692">
        <f t="shared" si="11"/>
        <v>1791.5412079787252</v>
      </c>
      <c r="Y11" s="690">
        <f t="shared" si="11"/>
        <v>1679.569882480055</v>
      </c>
      <c r="Z11" s="690">
        <f t="shared" si="11"/>
        <v>1574.5967648250514</v>
      </c>
      <c r="AA11" s="690">
        <f t="shared" si="11"/>
        <v>1476.1844670234857</v>
      </c>
      <c r="AB11" s="690">
        <f t="shared" si="11"/>
        <v>1383.9229378345178</v>
      </c>
      <c r="AC11" s="692">
        <f t="shared" si="11"/>
        <v>1297.4277542198604</v>
      </c>
      <c r="AD11" s="692">
        <f t="shared" si="11"/>
        <v>1216.338519581119</v>
      </c>
      <c r="AE11" s="692">
        <f t="shared" si="11"/>
        <v>1140.317362107299</v>
      </c>
      <c r="AF11" s="692">
        <f t="shared" si="11"/>
        <v>1069.0475269755927</v>
      </c>
      <c r="AG11" s="695" t="s">
        <v>624</v>
      </c>
      <c r="AH11" s="690">
        <f aca="true" t="shared" si="12" ref="AH11:AS11">AH10*$F$39</f>
        <v>1002.2320565396182</v>
      </c>
      <c r="AI11" s="690">
        <f t="shared" si="12"/>
        <v>939.592553005892</v>
      </c>
      <c r="AJ11" s="690">
        <f t="shared" si="12"/>
        <v>880.8680184430237</v>
      </c>
      <c r="AK11" s="690">
        <f t="shared" si="12"/>
        <v>825.8137672903348</v>
      </c>
      <c r="AL11" s="692">
        <f t="shared" si="12"/>
        <v>774.2004068346889</v>
      </c>
      <c r="AM11" s="692">
        <f t="shared" si="12"/>
        <v>725.8128814075209</v>
      </c>
      <c r="AN11" s="692">
        <f t="shared" si="12"/>
        <v>680.4495763195508</v>
      </c>
      <c r="AO11" s="692">
        <f t="shared" si="12"/>
        <v>637.921477799579</v>
      </c>
      <c r="AP11" s="690">
        <f t="shared" si="12"/>
        <v>598.0513854371053</v>
      </c>
      <c r="AQ11" s="690">
        <f t="shared" si="12"/>
        <v>560.6731738472862</v>
      </c>
      <c r="AR11" s="690">
        <f t="shared" si="12"/>
        <v>525.6311004818308</v>
      </c>
      <c r="AS11" s="690">
        <f t="shared" si="12"/>
        <v>492.7791567017164</v>
      </c>
      <c r="AT11" s="695" t="s">
        <v>624</v>
      </c>
      <c r="AU11" s="692">
        <f aca="true" t="shared" si="13" ref="AU11:BB11">AU10*$F$39</f>
        <v>461.9804594078591</v>
      </c>
      <c r="AV11" s="692">
        <f t="shared" si="13"/>
        <v>433.1066806948679</v>
      </c>
      <c r="AW11" s="692">
        <f t="shared" si="13"/>
        <v>406.0375131514387</v>
      </c>
      <c r="AX11" s="692">
        <f t="shared" si="13"/>
        <v>380.6601685794738</v>
      </c>
      <c r="AY11" s="690">
        <f t="shared" si="13"/>
        <v>356.8689080432567</v>
      </c>
      <c r="AZ11" s="690">
        <f t="shared" si="13"/>
        <v>334.5646012905531</v>
      </c>
      <c r="BA11" s="690">
        <f t="shared" si="13"/>
        <v>313.6543137098936</v>
      </c>
      <c r="BB11" s="690">
        <f t="shared" si="13"/>
        <v>294.05091910302525</v>
      </c>
      <c r="BC11" s="353"/>
    </row>
    <row r="12" spans="1:55" ht="15.75">
      <c r="A12" s="1197" t="s">
        <v>140</v>
      </c>
      <c r="B12" s="1198"/>
      <c r="C12" s="653">
        <f>ОФ_С!C26</f>
        <v>0</v>
      </c>
      <c r="D12" s="665">
        <f>C12-C13</f>
        <v>0</v>
      </c>
      <c r="E12" s="665">
        <f>D12-D13</f>
        <v>0</v>
      </c>
      <c r="F12" s="665">
        <f>E12-E13</f>
        <v>0</v>
      </c>
      <c r="G12" s="665">
        <f>F12-F13</f>
        <v>0</v>
      </c>
      <c r="H12" s="650"/>
      <c r="I12" s="178"/>
      <c r="J12" s="1197" t="s">
        <v>140</v>
      </c>
      <c r="K12" s="1198"/>
      <c r="L12" s="687">
        <f>C12</f>
        <v>0</v>
      </c>
      <c r="M12" s="683">
        <f aca="true" t="shared" si="14" ref="M12:S12">L12-L13</f>
        <v>0</v>
      </c>
      <c r="N12" s="683">
        <f t="shared" si="14"/>
        <v>0</v>
      </c>
      <c r="O12" s="683">
        <f t="shared" si="14"/>
        <v>0</v>
      </c>
      <c r="P12" s="683">
        <f t="shared" si="14"/>
        <v>0</v>
      </c>
      <c r="Q12" s="683">
        <f t="shared" si="14"/>
        <v>0</v>
      </c>
      <c r="R12" s="683">
        <f t="shared" si="14"/>
        <v>0</v>
      </c>
      <c r="S12" s="683">
        <f t="shared" si="14"/>
        <v>0</v>
      </c>
      <c r="T12" s="684" t="s">
        <v>625</v>
      </c>
      <c r="U12" s="683">
        <f>S12-S13</f>
        <v>0</v>
      </c>
      <c r="V12" s="683">
        <f aca="true" t="shared" si="15" ref="V12:AC12">U12-U13</f>
        <v>0</v>
      </c>
      <c r="W12" s="683">
        <f t="shared" si="15"/>
        <v>0</v>
      </c>
      <c r="X12" s="683">
        <f t="shared" si="15"/>
        <v>0</v>
      </c>
      <c r="Y12" s="683">
        <f t="shared" si="15"/>
        <v>0</v>
      </c>
      <c r="Z12" s="683">
        <f t="shared" si="15"/>
        <v>0</v>
      </c>
      <c r="AA12" s="683">
        <f t="shared" si="15"/>
        <v>0</v>
      </c>
      <c r="AB12" s="683">
        <f t="shared" si="15"/>
        <v>0</v>
      </c>
      <c r="AC12" s="683">
        <f t="shared" si="15"/>
        <v>0</v>
      </c>
      <c r="AD12" s="683">
        <f aca="true" t="shared" si="16" ref="AD12:BB12">AC12-AC13</f>
        <v>0</v>
      </c>
      <c r="AE12" s="683">
        <f t="shared" si="16"/>
        <v>0</v>
      </c>
      <c r="AF12" s="683">
        <f t="shared" si="16"/>
        <v>0</v>
      </c>
      <c r="AG12" s="684" t="s">
        <v>625</v>
      </c>
      <c r="AH12" s="683">
        <f>AF12-AF13</f>
        <v>0</v>
      </c>
      <c r="AI12" s="683">
        <f t="shared" si="16"/>
        <v>0</v>
      </c>
      <c r="AJ12" s="683">
        <f t="shared" si="16"/>
        <v>0</v>
      </c>
      <c r="AK12" s="683">
        <f t="shared" si="16"/>
        <v>0</v>
      </c>
      <c r="AL12" s="683">
        <f t="shared" si="16"/>
        <v>0</v>
      </c>
      <c r="AM12" s="683">
        <f t="shared" si="16"/>
        <v>0</v>
      </c>
      <c r="AN12" s="683">
        <f t="shared" si="16"/>
        <v>0</v>
      </c>
      <c r="AO12" s="683">
        <f t="shared" si="16"/>
        <v>0</v>
      </c>
      <c r="AP12" s="683">
        <f t="shared" si="16"/>
        <v>0</v>
      </c>
      <c r="AQ12" s="683">
        <f t="shared" si="16"/>
        <v>0</v>
      </c>
      <c r="AR12" s="683">
        <f t="shared" si="16"/>
        <v>0</v>
      </c>
      <c r="AS12" s="683">
        <f t="shared" si="16"/>
        <v>0</v>
      </c>
      <c r="AT12" s="684" t="s">
        <v>625</v>
      </c>
      <c r="AU12" s="683">
        <f>AS12-AS13</f>
        <v>0</v>
      </c>
      <c r="AV12" s="683">
        <f t="shared" si="16"/>
        <v>0</v>
      </c>
      <c r="AW12" s="683">
        <f t="shared" si="16"/>
        <v>0</v>
      </c>
      <c r="AX12" s="683">
        <f t="shared" si="16"/>
        <v>0</v>
      </c>
      <c r="AY12" s="683">
        <f t="shared" si="16"/>
        <v>0</v>
      </c>
      <c r="AZ12" s="683">
        <f t="shared" si="16"/>
        <v>0</v>
      </c>
      <c r="BA12" s="683">
        <f t="shared" si="16"/>
        <v>0</v>
      </c>
      <c r="BB12" s="683">
        <f t="shared" si="16"/>
        <v>0</v>
      </c>
      <c r="BC12" s="353"/>
    </row>
    <row r="13" spans="1:55" ht="20.25" customHeight="1" thickBot="1">
      <c r="A13" s="641" t="s">
        <v>195</v>
      </c>
      <c r="B13" s="639">
        <v>0.15</v>
      </c>
      <c r="C13" s="667">
        <f>C12*$C$40</f>
        <v>0</v>
      </c>
      <c r="D13" s="667">
        <f>D12*$C$40</f>
        <v>0</v>
      </c>
      <c r="E13" s="667">
        <f>E12*$C$40</f>
        <v>0</v>
      </c>
      <c r="F13" s="667">
        <f>F12*$C$40</f>
        <v>0</v>
      </c>
      <c r="G13" s="667">
        <f>G12*$C$40</f>
        <v>0</v>
      </c>
      <c r="H13" s="651">
        <f>SUM(C13:G13)</f>
        <v>0</v>
      </c>
      <c r="I13" s="178"/>
      <c r="J13" s="641" t="s">
        <v>195</v>
      </c>
      <c r="K13" s="663">
        <v>0.0375</v>
      </c>
      <c r="L13" s="690">
        <f aca="true" t="shared" si="17" ref="L13:S13">L12*$K$13</f>
        <v>0</v>
      </c>
      <c r="M13" s="690">
        <f t="shared" si="17"/>
        <v>0</v>
      </c>
      <c r="N13" s="690">
        <f t="shared" si="17"/>
        <v>0</v>
      </c>
      <c r="O13" s="690">
        <f t="shared" si="17"/>
        <v>0</v>
      </c>
      <c r="P13" s="690">
        <f t="shared" si="17"/>
        <v>0</v>
      </c>
      <c r="Q13" s="690">
        <f t="shared" si="17"/>
        <v>0</v>
      </c>
      <c r="R13" s="690">
        <f t="shared" si="17"/>
        <v>0</v>
      </c>
      <c r="S13" s="690">
        <f t="shared" si="17"/>
        <v>0</v>
      </c>
      <c r="T13" s="695" t="s">
        <v>626</v>
      </c>
      <c r="U13" s="692">
        <f aca="true" t="shared" si="18" ref="U13:AF13">U12*$K$13</f>
        <v>0</v>
      </c>
      <c r="V13" s="692">
        <f t="shared" si="18"/>
        <v>0</v>
      </c>
      <c r="W13" s="692">
        <f t="shared" si="18"/>
        <v>0</v>
      </c>
      <c r="X13" s="692">
        <f t="shared" si="18"/>
        <v>0</v>
      </c>
      <c r="Y13" s="690">
        <f t="shared" si="18"/>
        <v>0</v>
      </c>
      <c r="Z13" s="690">
        <f t="shared" si="18"/>
        <v>0</v>
      </c>
      <c r="AA13" s="690">
        <f t="shared" si="18"/>
        <v>0</v>
      </c>
      <c r="AB13" s="690">
        <f t="shared" si="18"/>
        <v>0</v>
      </c>
      <c r="AC13" s="692">
        <f t="shared" si="18"/>
        <v>0</v>
      </c>
      <c r="AD13" s="692">
        <f t="shared" si="18"/>
        <v>0</v>
      </c>
      <c r="AE13" s="692">
        <f t="shared" si="18"/>
        <v>0</v>
      </c>
      <c r="AF13" s="692">
        <f t="shared" si="18"/>
        <v>0</v>
      </c>
      <c r="AG13" s="695" t="s">
        <v>626</v>
      </c>
      <c r="AH13" s="690">
        <f aca="true" t="shared" si="19" ref="AH13:AS13">AH12*$K$13</f>
        <v>0</v>
      </c>
      <c r="AI13" s="690">
        <f t="shared" si="19"/>
        <v>0</v>
      </c>
      <c r="AJ13" s="690">
        <f t="shared" si="19"/>
        <v>0</v>
      </c>
      <c r="AK13" s="690">
        <f t="shared" si="19"/>
        <v>0</v>
      </c>
      <c r="AL13" s="692">
        <f t="shared" si="19"/>
        <v>0</v>
      </c>
      <c r="AM13" s="692">
        <f t="shared" si="19"/>
        <v>0</v>
      </c>
      <c r="AN13" s="692">
        <f t="shared" si="19"/>
        <v>0</v>
      </c>
      <c r="AO13" s="692">
        <f t="shared" si="19"/>
        <v>0</v>
      </c>
      <c r="AP13" s="690">
        <f t="shared" si="19"/>
        <v>0</v>
      </c>
      <c r="AQ13" s="690">
        <f t="shared" si="19"/>
        <v>0</v>
      </c>
      <c r="AR13" s="690">
        <f t="shared" si="19"/>
        <v>0</v>
      </c>
      <c r="AS13" s="690">
        <f t="shared" si="19"/>
        <v>0</v>
      </c>
      <c r="AT13" s="695" t="s">
        <v>626</v>
      </c>
      <c r="AU13" s="692">
        <f aca="true" t="shared" si="20" ref="AU13:BB13">AU12*$K$13</f>
        <v>0</v>
      </c>
      <c r="AV13" s="692">
        <f t="shared" si="20"/>
        <v>0</v>
      </c>
      <c r="AW13" s="692">
        <f t="shared" si="20"/>
        <v>0</v>
      </c>
      <c r="AX13" s="692">
        <f t="shared" si="20"/>
        <v>0</v>
      </c>
      <c r="AY13" s="690">
        <f t="shared" si="20"/>
        <v>0</v>
      </c>
      <c r="AZ13" s="690">
        <f t="shared" si="20"/>
        <v>0</v>
      </c>
      <c r="BA13" s="690">
        <f t="shared" si="20"/>
        <v>0</v>
      </c>
      <c r="BB13" s="690">
        <f t="shared" si="20"/>
        <v>0</v>
      </c>
      <c r="BC13" s="353"/>
    </row>
    <row r="14" spans="1:55" ht="29.25" customHeight="1" thickBot="1">
      <c r="A14" s="1199" t="s">
        <v>191</v>
      </c>
      <c r="B14" s="1200"/>
      <c r="C14" s="642">
        <f>C9+C11+C13</f>
        <v>13264.460287780763</v>
      </c>
      <c r="D14" s="642">
        <f>D9+D11+D13</f>
        <v>10246.479828932206</v>
      </c>
      <c r="E14" s="642">
        <f>E9+E11+E13</f>
        <v>7915.161763606155</v>
      </c>
      <c r="F14" s="642">
        <f>F9+F11+F13</f>
        <v>6114.274052163109</v>
      </c>
      <c r="G14" s="642">
        <f>G9+G11+G13</f>
        <v>4723.131162883872</v>
      </c>
      <c r="H14" s="640">
        <f>SUM(C14:G14)</f>
        <v>42263.507095366105</v>
      </c>
      <c r="I14" s="178"/>
      <c r="J14" s="1232" t="s">
        <v>191</v>
      </c>
      <c r="K14" s="1233"/>
      <c r="L14" s="642">
        <f aca="true" t="shared" si="21" ref="L14:BB14">L9+L11+L13</f>
        <v>3643.70125</v>
      </c>
      <c r="M14" s="642">
        <f t="shared" si="21"/>
        <v>3415.969921875</v>
      </c>
      <c r="N14" s="642">
        <f t="shared" si="21"/>
        <v>3202.4718017578125</v>
      </c>
      <c r="O14" s="642">
        <f t="shared" si="21"/>
        <v>3002.317314147949</v>
      </c>
      <c r="P14" s="642">
        <f t="shared" si="21"/>
        <v>2814.6724820137024</v>
      </c>
      <c r="Q14" s="642">
        <f t="shared" si="21"/>
        <v>2638.755451887846</v>
      </c>
      <c r="R14" s="642">
        <f t="shared" si="21"/>
        <v>2473.8332361448556</v>
      </c>
      <c r="S14" s="642">
        <f t="shared" si="21"/>
        <v>2319.218658885802</v>
      </c>
      <c r="T14" s="696" t="s">
        <v>627</v>
      </c>
      <c r="U14" s="693">
        <f t="shared" si="21"/>
        <v>2174.2674927054395</v>
      </c>
      <c r="V14" s="693">
        <f t="shared" si="21"/>
        <v>2038.3757744113495</v>
      </c>
      <c r="W14" s="693">
        <f t="shared" si="21"/>
        <v>1910.9772885106402</v>
      </c>
      <c r="X14" s="693">
        <f t="shared" si="21"/>
        <v>1791.5412079787252</v>
      </c>
      <c r="Y14" s="642">
        <f t="shared" si="21"/>
        <v>1679.569882480055</v>
      </c>
      <c r="Z14" s="642">
        <f t="shared" si="21"/>
        <v>1574.5967648250514</v>
      </c>
      <c r="AA14" s="642">
        <f t="shared" si="21"/>
        <v>1476.1844670234857</v>
      </c>
      <c r="AB14" s="642">
        <f t="shared" si="21"/>
        <v>1383.9229378345178</v>
      </c>
      <c r="AC14" s="693">
        <f t="shared" si="21"/>
        <v>1297.4277542198604</v>
      </c>
      <c r="AD14" s="693">
        <f t="shared" si="21"/>
        <v>1216.338519581119</v>
      </c>
      <c r="AE14" s="693">
        <f t="shared" si="21"/>
        <v>1140.317362107299</v>
      </c>
      <c r="AF14" s="693">
        <f t="shared" si="21"/>
        <v>1069.0475269755927</v>
      </c>
      <c r="AG14" s="696" t="s">
        <v>627</v>
      </c>
      <c r="AH14" s="642">
        <f t="shared" si="21"/>
        <v>1002.2320565396182</v>
      </c>
      <c r="AI14" s="642">
        <f t="shared" si="21"/>
        <v>939.592553005892</v>
      </c>
      <c r="AJ14" s="642">
        <f t="shared" si="21"/>
        <v>880.8680184430237</v>
      </c>
      <c r="AK14" s="642">
        <f t="shared" si="21"/>
        <v>825.8137672903348</v>
      </c>
      <c r="AL14" s="693">
        <f t="shared" si="21"/>
        <v>774.2004068346889</v>
      </c>
      <c r="AM14" s="693">
        <f t="shared" si="21"/>
        <v>725.8128814075209</v>
      </c>
      <c r="AN14" s="693">
        <f t="shared" si="21"/>
        <v>680.4495763195508</v>
      </c>
      <c r="AO14" s="693">
        <f t="shared" si="21"/>
        <v>637.921477799579</v>
      </c>
      <c r="AP14" s="642">
        <f t="shared" si="21"/>
        <v>598.0513854371053</v>
      </c>
      <c r="AQ14" s="642">
        <f t="shared" si="21"/>
        <v>560.6731738472862</v>
      </c>
      <c r="AR14" s="642">
        <f t="shared" si="21"/>
        <v>525.6311004818308</v>
      </c>
      <c r="AS14" s="642">
        <f t="shared" si="21"/>
        <v>492.7791567017164</v>
      </c>
      <c r="AT14" s="696" t="s">
        <v>627</v>
      </c>
      <c r="AU14" s="693">
        <f t="shared" si="21"/>
        <v>461.9804594078591</v>
      </c>
      <c r="AV14" s="693">
        <f t="shared" si="21"/>
        <v>433.1066806948679</v>
      </c>
      <c r="AW14" s="693">
        <f t="shared" si="21"/>
        <v>406.0375131514387</v>
      </c>
      <c r="AX14" s="693">
        <f t="shared" si="21"/>
        <v>380.6601685794738</v>
      </c>
      <c r="AY14" s="642">
        <f t="shared" si="21"/>
        <v>356.8689080432567</v>
      </c>
      <c r="AZ14" s="642">
        <f t="shared" si="21"/>
        <v>334.5646012905531</v>
      </c>
      <c r="BA14" s="642">
        <f t="shared" si="21"/>
        <v>313.6543137098936</v>
      </c>
      <c r="BB14" s="642">
        <f t="shared" si="21"/>
        <v>294.05091910302525</v>
      </c>
      <c r="BC14" s="353"/>
    </row>
    <row r="15" spans="1:55" ht="42" customHeight="1" thickTop="1">
      <c r="A15" s="1220" t="s">
        <v>145</v>
      </c>
      <c r="B15" s="1220"/>
      <c r="C15" s="1220"/>
      <c r="D15" s="1220"/>
      <c r="E15" s="1220"/>
      <c r="F15" s="1220"/>
      <c r="G15" s="1220"/>
      <c r="H15" s="1220"/>
      <c r="I15" s="178"/>
      <c r="J15" s="1194" t="s">
        <v>820</v>
      </c>
      <c r="K15" s="1194"/>
      <c r="L15" s="1194"/>
      <c r="M15" s="1194"/>
      <c r="N15" s="1194"/>
      <c r="O15" s="1194"/>
      <c r="P15" s="1194"/>
      <c r="Q15" s="1194"/>
      <c r="R15" s="1194"/>
      <c r="S15" s="1194"/>
      <c r="T15" s="1194" t="s">
        <v>820</v>
      </c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217" t="s">
        <v>820</v>
      </c>
      <c r="AH15" s="1217"/>
      <c r="AI15" s="1217"/>
      <c r="AJ15" s="1217"/>
      <c r="AK15" s="1217"/>
      <c r="AL15" s="1217"/>
      <c r="AM15" s="1217"/>
      <c r="AN15" s="1217"/>
      <c r="AO15" s="1217"/>
      <c r="AP15" s="1217"/>
      <c r="AQ15" s="1217"/>
      <c r="AR15" s="1217"/>
      <c r="AS15" s="1217"/>
      <c r="AT15" s="1217" t="s">
        <v>820</v>
      </c>
      <c r="AU15" s="1217"/>
      <c r="AV15" s="1217"/>
      <c r="AW15" s="1217"/>
      <c r="AX15" s="1217"/>
      <c r="AY15" s="1217"/>
      <c r="AZ15" s="1217"/>
      <c r="BA15" s="1217"/>
      <c r="BB15" s="1217"/>
      <c r="BC15" s="353"/>
    </row>
    <row r="16" spans="1:55" ht="15.75">
      <c r="A16" s="1206" t="s">
        <v>141</v>
      </c>
      <c r="B16" s="1206"/>
      <c r="C16" s="652">
        <v>0</v>
      </c>
      <c r="D16" s="652">
        <f>ОФ_Н!C15</f>
        <v>70000</v>
      </c>
      <c r="E16" s="648">
        <f>D16-D17</f>
        <v>64565.7712</v>
      </c>
      <c r="F16" s="648">
        <f>E16-E17</f>
        <v>59553.411580725</v>
      </c>
      <c r="G16" s="648">
        <f>F16-F17</f>
        <v>54930.17066143601</v>
      </c>
      <c r="H16" s="649"/>
      <c r="I16" s="178"/>
      <c r="J16" s="1206" t="s">
        <v>141</v>
      </c>
      <c r="K16" s="1206"/>
      <c r="L16" s="687">
        <f>C16</f>
        <v>0</v>
      </c>
      <c r="M16" s="684">
        <f aca="true" t="shared" si="22" ref="M16:S16">L16-L17</f>
        <v>0</v>
      </c>
      <c r="N16" s="684">
        <f t="shared" si="22"/>
        <v>0</v>
      </c>
      <c r="O16" s="684">
        <f t="shared" si="22"/>
        <v>0</v>
      </c>
      <c r="P16" s="684">
        <f>D16</f>
        <v>70000</v>
      </c>
      <c r="Q16" s="684">
        <f t="shared" si="22"/>
        <v>68600</v>
      </c>
      <c r="R16" s="684">
        <f t="shared" si="22"/>
        <v>67228</v>
      </c>
      <c r="S16" s="684">
        <f t="shared" si="22"/>
        <v>65883.44</v>
      </c>
      <c r="T16" s="684" t="s">
        <v>621</v>
      </c>
      <c r="U16" s="684">
        <f>S16-S17</f>
        <v>64565.7712</v>
      </c>
      <c r="V16" s="684">
        <f aca="true" t="shared" si="23" ref="V16:BB16">U16-U17</f>
        <v>63274.455776</v>
      </c>
      <c r="W16" s="684">
        <f t="shared" si="23"/>
        <v>62008.96666048</v>
      </c>
      <c r="X16" s="684">
        <f t="shared" si="23"/>
        <v>60768.7873272704</v>
      </c>
      <c r="Y16" s="684">
        <f t="shared" si="23"/>
        <v>59553.41158072499</v>
      </c>
      <c r="Z16" s="684">
        <f t="shared" si="23"/>
        <v>58362.34334911049</v>
      </c>
      <c r="AA16" s="684">
        <f t="shared" si="23"/>
        <v>57195.096482128276</v>
      </c>
      <c r="AB16" s="684">
        <f t="shared" si="23"/>
        <v>56051.19455248571</v>
      </c>
      <c r="AC16" s="684">
        <f t="shared" si="23"/>
        <v>54930.170661435994</v>
      </c>
      <c r="AD16" s="684">
        <f t="shared" si="23"/>
        <v>53831.56724820728</v>
      </c>
      <c r="AE16" s="684">
        <f t="shared" si="23"/>
        <v>52754.93590324313</v>
      </c>
      <c r="AF16" s="684">
        <f t="shared" si="23"/>
        <v>51699.83718517827</v>
      </c>
      <c r="AG16" s="684" t="s">
        <v>621</v>
      </c>
      <c r="AH16" s="684">
        <f>AF16-AF17</f>
        <v>50665.840441474706</v>
      </c>
      <c r="AI16" s="684">
        <f t="shared" si="23"/>
        <v>49652.523632645214</v>
      </c>
      <c r="AJ16" s="684">
        <f t="shared" si="23"/>
        <v>48659.47315999231</v>
      </c>
      <c r="AK16" s="684">
        <f t="shared" si="23"/>
        <v>47686.28369679247</v>
      </c>
      <c r="AL16" s="684">
        <f t="shared" si="23"/>
        <v>46732.55802285662</v>
      </c>
      <c r="AM16" s="684">
        <f t="shared" si="23"/>
        <v>45797.90686239948</v>
      </c>
      <c r="AN16" s="684">
        <f t="shared" si="23"/>
        <v>44881.948725151495</v>
      </c>
      <c r="AO16" s="684">
        <f t="shared" si="23"/>
        <v>43984.30975064846</v>
      </c>
      <c r="AP16" s="684">
        <f t="shared" si="23"/>
        <v>43104.623555635495</v>
      </c>
      <c r="AQ16" s="684">
        <f t="shared" si="23"/>
        <v>42242.53108452279</v>
      </c>
      <c r="AR16" s="684">
        <f t="shared" si="23"/>
        <v>41397.68046283233</v>
      </c>
      <c r="AS16" s="684">
        <f t="shared" si="23"/>
        <v>40569.72685357568</v>
      </c>
      <c r="AT16" s="684" t="s">
        <v>621</v>
      </c>
      <c r="AU16" s="684">
        <f>AS16-AS17</f>
        <v>39758.332316504166</v>
      </c>
      <c r="AV16" s="684">
        <f t="shared" si="23"/>
        <v>38963.16567017408</v>
      </c>
      <c r="AW16" s="684">
        <f t="shared" si="23"/>
        <v>38183.902356770595</v>
      </c>
      <c r="AX16" s="684">
        <f t="shared" si="23"/>
        <v>37420.22430963518</v>
      </c>
      <c r="AY16" s="684">
        <f t="shared" si="23"/>
        <v>36671.81982344248</v>
      </c>
      <c r="AZ16" s="684">
        <f t="shared" si="23"/>
        <v>35938.383426973625</v>
      </c>
      <c r="BA16" s="684">
        <f t="shared" si="23"/>
        <v>35219.615758434156</v>
      </c>
      <c r="BB16" s="684">
        <f t="shared" si="23"/>
        <v>34515.22344326547</v>
      </c>
      <c r="BC16" s="353"/>
    </row>
    <row r="17" spans="1:55" ht="20.25" customHeight="1" thickBot="1">
      <c r="A17" s="668" t="s">
        <v>193</v>
      </c>
      <c r="B17" s="669">
        <v>0.08</v>
      </c>
      <c r="C17" s="670">
        <f>C16*$C$32</f>
        <v>0</v>
      </c>
      <c r="D17" s="670">
        <f>D16*$C$32</f>
        <v>5434.2288</v>
      </c>
      <c r="E17" s="670">
        <f>E16*$C$32</f>
        <v>5012.359619275007</v>
      </c>
      <c r="F17" s="670">
        <f>F16*$C$32</f>
        <v>4623.24091928899</v>
      </c>
      <c r="G17" s="670">
        <f>G16*$C$32</f>
        <v>4264.3302199612945</v>
      </c>
      <c r="H17" s="671">
        <f>SUM(C17:G17)</f>
        <v>19334.15955852529</v>
      </c>
      <c r="I17" s="178"/>
      <c r="J17" s="668" t="s">
        <v>193</v>
      </c>
      <c r="K17" s="669">
        <v>0.02</v>
      </c>
      <c r="L17" s="685">
        <f aca="true" t="shared" si="24" ref="L17:S17">L16*$K$17</f>
        <v>0</v>
      </c>
      <c r="M17" s="685">
        <f t="shared" si="24"/>
        <v>0</v>
      </c>
      <c r="N17" s="685">
        <f t="shared" si="24"/>
        <v>0</v>
      </c>
      <c r="O17" s="685">
        <f t="shared" si="24"/>
        <v>0</v>
      </c>
      <c r="P17" s="664">
        <f t="shared" si="24"/>
        <v>1400</v>
      </c>
      <c r="Q17" s="664">
        <f t="shared" si="24"/>
        <v>1372</v>
      </c>
      <c r="R17" s="664">
        <f t="shared" si="24"/>
        <v>1344.56</v>
      </c>
      <c r="S17" s="664">
        <f t="shared" si="24"/>
        <v>1317.6688000000001</v>
      </c>
      <c r="T17" s="695" t="s">
        <v>622</v>
      </c>
      <c r="U17" s="682">
        <f aca="true" t="shared" si="25" ref="U17:AF17">U16*$K$17</f>
        <v>1291.3154240000001</v>
      </c>
      <c r="V17" s="682">
        <f t="shared" si="25"/>
        <v>1265.48911552</v>
      </c>
      <c r="W17" s="682">
        <f t="shared" si="25"/>
        <v>1240.1793332096001</v>
      </c>
      <c r="X17" s="682">
        <f t="shared" si="25"/>
        <v>1215.375746545408</v>
      </c>
      <c r="Y17" s="664">
        <f t="shared" si="25"/>
        <v>1191.0682316144998</v>
      </c>
      <c r="Z17" s="664">
        <f t="shared" si="25"/>
        <v>1167.24686698221</v>
      </c>
      <c r="AA17" s="664">
        <f t="shared" si="25"/>
        <v>1143.9019296425656</v>
      </c>
      <c r="AB17" s="664">
        <f t="shared" si="25"/>
        <v>1121.0238910497142</v>
      </c>
      <c r="AC17" s="682">
        <f t="shared" si="25"/>
        <v>1098.60341322872</v>
      </c>
      <c r="AD17" s="682">
        <f t="shared" si="25"/>
        <v>1076.6313449641455</v>
      </c>
      <c r="AE17" s="682">
        <f t="shared" si="25"/>
        <v>1055.0987180648626</v>
      </c>
      <c r="AF17" s="682">
        <f t="shared" si="25"/>
        <v>1033.9967437035655</v>
      </c>
      <c r="AG17" s="695" t="s">
        <v>622</v>
      </c>
      <c r="AH17" s="664">
        <f aca="true" t="shared" si="26" ref="AH17:AS17">AH16*$K$17</f>
        <v>1013.3168088294941</v>
      </c>
      <c r="AI17" s="664">
        <f t="shared" si="26"/>
        <v>993.0504726529043</v>
      </c>
      <c r="AJ17" s="664">
        <f t="shared" si="26"/>
        <v>973.1894631998463</v>
      </c>
      <c r="AK17" s="664">
        <f t="shared" si="26"/>
        <v>953.7256739358494</v>
      </c>
      <c r="AL17" s="682">
        <f t="shared" si="26"/>
        <v>934.6511604571324</v>
      </c>
      <c r="AM17" s="682">
        <f t="shared" si="26"/>
        <v>915.9581372479897</v>
      </c>
      <c r="AN17" s="682">
        <f t="shared" si="26"/>
        <v>897.6389745030299</v>
      </c>
      <c r="AO17" s="682">
        <f t="shared" si="26"/>
        <v>879.6861950129693</v>
      </c>
      <c r="AP17" s="664">
        <f t="shared" si="26"/>
        <v>862.09247111271</v>
      </c>
      <c r="AQ17" s="664">
        <f t="shared" si="26"/>
        <v>844.8506216904558</v>
      </c>
      <c r="AR17" s="664">
        <f t="shared" si="26"/>
        <v>827.9536092566466</v>
      </c>
      <c r="AS17" s="664">
        <f t="shared" si="26"/>
        <v>811.3945370715137</v>
      </c>
      <c r="AT17" s="695" t="s">
        <v>622</v>
      </c>
      <c r="AU17" s="682">
        <f aca="true" t="shared" si="27" ref="AU17:BB17">AU16*$K$17</f>
        <v>795.1666463300834</v>
      </c>
      <c r="AV17" s="682">
        <f t="shared" si="27"/>
        <v>779.2633134034816</v>
      </c>
      <c r="AW17" s="682">
        <f t="shared" si="27"/>
        <v>763.6780471354119</v>
      </c>
      <c r="AX17" s="682">
        <f t="shared" si="27"/>
        <v>748.4044861927036</v>
      </c>
      <c r="AY17" s="664">
        <f t="shared" si="27"/>
        <v>733.4363964688496</v>
      </c>
      <c r="AZ17" s="664">
        <f t="shared" si="27"/>
        <v>718.7676685394725</v>
      </c>
      <c r="BA17" s="664">
        <f t="shared" si="27"/>
        <v>704.3923151686831</v>
      </c>
      <c r="BB17" s="664">
        <f t="shared" si="27"/>
        <v>690.3044688653094</v>
      </c>
      <c r="BC17" s="353"/>
    </row>
    <row r="18" spans="1:55" ht="15.75">
      <c r="A18" s="1218" t="s">
        <v>142</v>
      </c>
      <c r="B18" s="1219"/>
      <c r="C18" s="654">
        <v>0</v>
      </c>
      <c r="D18" s="654">
        <f>ОФ_Н!C22</f>
        <v>20000</v>
      </c>
      <c r="E18" s="665">
        <f>D18-D19</f>
        <v>13122</v>
      </c>
      <c r="F18" s="665">
        <f>E18-E19</f>
        <v>8609.3442</v>
      </c>
      <c r="G18" s="665">
        <f>F18-F19</f>
        <v>5648.590729619999</v>
      </c>
      <c r="H18" s="666"/>
      <c r="I18" s="178"/>
      <c r="J18" s="1218" t="s">
        <v>142</v>
      </c>
      <c r="K18" s="1219"/>
      <c r="L18" s="688">
        <f>C18</f>
        <v>0</v>
      </c>
      <c r="M18" s="683">
        <f aca="true" t="shared" si="28" ref="M18:S18">L18-L19</f>
        <v>0</v>
      </c>
      <c r="N18" s="683">
        <f t="shared" si="28"/>
        <v>0</v>
      </c>
      <c r="O18" s="683">
        <f t="shared" si="28"/>
        <v>0</v>
      </c>
      <c r="P18" s="683">
        <f>D18</f>
        <v>20000</v>
      </c>
      <c r="Q18" s="683">
        <f t="shared" si="28"/>
        <v>18000</v>
      </c>
      <c r="R18" s="683">
        <f t="shared" si="28"/>
        <v>16200</v>
      </c>
      <c r="S18" s="683">
        <f t="shared" si="28"/>
        <v>14580</v>
      </c>
      <c r="T18" s="684" t="s">
        <v>623</v>
      </c>
      <c r="U18" s="683">
        <f>S18-S19</f>
        <v>13122</v>
      </c>
      <c r="V18" s="683">
        <f aca="true" t="shared" si="29" ref="V18:BB18">U18-U19</f>
        <v>11809.8</v>
      </c>
      <c r="W18" s="683">
        <f t="shared" si="29"/>
        <v>10628.82</v>
      </c>
      <c r="X18" s="683">
        <f t="shared" si="29"/>
        <v>9565.938</v>
      </c>
      <c r="Y18" s="683">
        <f t="shared" si="29"/>
        <v>8609.3442</v>
      </c>
      <c r="Z18" s="683">
        <f t="shared" si="29"/>
        <v>7748.40978</v>
      </c>
      <c r="AA18" s="683">
        <f t="shared" si="29"/>
        <v>6973.568802</v>
      </c>
      <c r="AB18" s="683">
        <f t="shared" si="29"/>
        <v>6276.2119218</v>
      </c>
      <c r="AC18" s="683">
        <f t="shared" si="29"/>
        <v>5648.59072962</v>
      </c>
      <c r="AD18" s="683">
        <f t="shared" si="29"/>
        <v>5083.731656658</v>
      </c>
      <c r="AE18" s="683">
        <f t="shared" si="29"/>
        <v>4575.3584909922</v>
      </c>
      <c r="AF18" s="683">
        <f t="shared" si="29"/>
        <v>4117.82264189298</v>
      </c>
      <c r="AG18" s="684" t="s">
        <v>623</v>
      </c>
      <c r="AH18" s="683">
        <f>AF18-AF19</f>
        <v>3706.0403777036818</v>
      </c>
      <c r="AI18" s="683">
        <f t="shared" si="29"/>
        <v>3335.4363399333133</v>
      </c>
      <c r="AJ18" s="683">
        <f t="shared" si="29"/>
        <v>3001.892705939982</v>
      </c>
      <c r="AK18" s="683">
        <f t="shared" si="29"/>
        <v>2701.703435345984</v>
      </c>
      <c r="AL18" s="683">
        <f t="shared" si="29"/>
        <v>2431.5330918113855</v>
      </c>
      <c r="AM18" s="683">
        <f t="shared" si="29"/>
        <v>2188.379782630247</v>
      </c>
      <c r="AN18" s="683">
        <f t="shared" si="29"/>
        <v>1969.5418043672223</v>
      </c>
      <c r="AO18" s="683">
        <f t="shared" si="29"/>
        <v>1772.5876239305</v>
      </c>
      <c r="AP18" s="683">
        <f t="shared" si="29"/>
        <v>1595.32886153745</v>
      </c>
      <c r="AQ18" s="683">
        <f t="shared" si="29"/>
        <v>1435.795975383705</v>
      </c>
      <c r="AR18" s="683">
        <f t="shared" si="29"/>
        <v>1292.2163778453344</v>
      </c>
      <c r="AS18" s="683">
        <f t="shared" si="29"/>
        <v>1162.994740060801</v>
      </c>
      <c r="AT18" s="684" t="s">
        <v>623</v>
      </c>
      <c r="AU18" s="683">
        <f>AS18-AS19</f>
        <v>1046.6952660547208</v>
      </c>
      <c r="AV18" s="683">
        <f t="shared" si="29"/>
        <v>942.0257394492487</v>
      </c>
      <c r="AW18" s="683">
        <f t="shared" si="29"/>
        <v>847.8231655043238</v>
      </c>
      <c r="AX18" s="683">
        <f t="shared" si="29"/>
        <v>763.0408489538914</v>
      </c>
      <c r="AY18" s="683">
        <f t="shared" si="29"/>
        <v>686.7367640585023</v>
      </c>
      <c r="AZ18" s="683">
        <f t="shared" si="29"/>
        <v>618.0630876526521</v>
      </c>
      <c r="BA18" s="683">
        <f t="shared" si="29"/>
        <v>556.2567788873869</v>
      </c>
      <c r="BB18" s="683">
        <f t="shared" si="29"/>
        <v>500.6311009986482</v>
      </c>
      <c r="BC18" s="353"/>
    </row>
    <row r="19" spans="1:55" ht="20.25" customHeight="1" thickBot="1">
      <c r="A19" s="668" t="s">
        <v>194</v>
      </c>
      <c r="B19" s="669">
        <v>0.4</v>
      </c>
      <c r="C19" s="670">
        <f>C18*$C$33</f>
        <v>0</v>
      </c>
      <c r="D19" s="670">
        <f>D18*$C$33</f>
        <v>6878.000000000001</v>
      </c>
      <c r="E19" s="670">
        <f>E18*$C$33</f>
        <v>4512.6558</v>
      </c>
      <c r="F19" s="670">
        <f>F18*$C$33</f>
        <v>2960.75347038</v>
      </c>
      <c r="G19" s="670">
        <f>G18*$C$33</f>
        <v>1942.550351916318</v>
      </c>
      <c r="H19" s="671">
        <f>SUM(C19:G19)</f>
        <v>16293.95962229632</v>
      </c>
      <c r="I19" s="178"/>
      <c r="J19" s="668" t="s">
        <v>194</v>
      </c>
      <c r="K19" s="669">
        <v>0.1</v>
      </c>
      <c r="L19" s="685">
        <f aca="true" t="shared" si="30" ref="L19:S19">L18*$K$19</f>
        <v>0</v>
      </c>
      <c r="M19" s="685">
        <f t="shared" si="30"/>
        <v>0</v>
      </c>
      <c r="N19" s="685">
        <f t="shared" si="30"/>
        <v>0</v>
      </c>
      <c r="O19" s="685">
        <f t="shared" si="30"/>
        <v>0</v>
      </c>
      <c r="P19" s="664">
        <f t="shared" si="30"/>
        <v>2000</v>
      </c>
      <c r="Q19" s="664">
        <f t="shared" si="30"/>
        <v>1800</v>
      </c>
      <c r="R19" s="664">
        <f t="shared" si="30"/>
        <v>1620</v>
      </c>
      <c r="S19" s="664">
        <f t="shared" si="30"/>
        <v>1458</v>
      </c>
      <c r="T19" s="695" t="s">
        <v>624</v>
      </c>
      <c r="U19" s="682">
        <f aca="true" t="shared" si="31" ref="U19:AF19">U18*$K$19</f>
        <v>1312.2</v>
      </c>
      <c r="V19" s="682">
        <f t="shared" si="31"/>
        <v>1180.98</v>
      </c>
      <c r="W19" s="682">
        <f t="shared" si="31"/>
        <v>1062.882</v>
      </c>
      <c r="X19" s="682">
        <f t="shared" si="31"/>
        <v>956.5938000000001</v>
      </c>
      <c r="Y19" s="664">
        <f t="shared" si="31"/>
        <v>860.93442</v>
      </c>
      <c r="Z19" s="664">
        <f t="shared" si="31"/>
        <v>774.8409780000001</v>
      </c>
      <c r="AA19" s="664">
        <f t="shared" si="31"/>
        <v>697.3568802</v>
      </c>
      <c r="AB19" s="664">
        <f t="shared" si="31"/>
        <v>627.62119218</v>
      </c>
      <c r="AC19" s="682">
        <f t="shared" si="31"/>
        <v>564.859072962</v>
      </c>
      <c r="AD19" s="682">
        <f t="shared" si="31"/>
        <v>508.37316566580006</v>
      </c>
      <c r="AE19" s="682">
        <f t="shared" si="31"/>
        <v>457.53584909922006</v>
      </c>
      <c r="AF19" s="682">
        <f t="shared" si="31"/>
        <v>411.782264189298</v>
      </c>
      <c r="AG19" s="695" t="s">
        <v>624</v>
      </c>
      <c r="AH19" s="664">
        <f aca="true" t="shared" si="32" ref="AH19:AS19">AH18*$K$19</f>
        <v>370.6040377703682</v>
      </c>
      <c r="AI19" s="664">
        <f t="shared" si="32"/>
        <v>333.54363399333135</v>
      </c>
      <c r="AJ19" s="664">
        <f t="shared" si="32"/>
        <v>300.18927059399823</v>
      </c>
      <c r="AK19" s="664">
        <f t="shared" si="32"/>
        <v>270.17034353459843</v>
      </c>
      <c r="AL19" s="682">
        <f t="shared" si="32"/>
        <v>243.15330918113855</v>
      </c>
      <c r="AM19" s="682">
        <f t="shared" si="32"/>
        <v>218.83797826302472</v>
      </c>
      <c r="AN19" s="682">
        <f t="shared" si="32"/>
        <v>196.95418043672225</v>
      </c>
      <c r="AO19" s="682">
        <f t="shared" si="32"/>
        <v>177.25876239305</v>
      </c>
      <c r="AP19" s="664">
        <f t="shared" si="32"/>
        <v>159.532886153745</v>
      </c>
      <c r="AQ19" s="664">
        <f t="shared" si="32"/>
        <v>143.5795975383705</v>
      </c>
      <c r="AR19" s="664">
        <f t="shared" si="32"/>
        <v>129.22163778453344</v>
      </c>
      <c r="AS19" s="664">
        <f t="shared" si="32"/>
        <v>116.2994740060801</v>
      </c>
      <c r="AT19" s="695" t="s">
        <v>624</v>
      </c>
      <c r="AU19" s="682">
        <f aca="true" t="shared" si="33" ref="AU19:BB19">AU18*$K$19</f>
        <v>104.66952660547209</v>
      </c>
      <c r="AV19" s="682">
        <f t="shared" si="33"/>
        <v>94.20257394492488</v>
      </c>
      <c r="AW19" s="682">
        <f t="shared" si="33"/>
        <v>84.78231655043238</v>
      </c>
      <c r="AX19" s="682">
        <f t="shared" si="33"/>
        <v>76.30408489538915</v>
      </c>
      <c r="AY19" s="664">
        <f t="shared" si="33"/>
        <v>68.67367640585023</v>
      </c>
      <c r="AZ19" s="664">
        <f t="shared" si="33"/>
        <v>61.806308765265214</v>
      </c>
      <c r="BA19" s="664">
        <f t="shared" si="33"/>
        <v>55.62567788873869</v>
      </c>
      <c r="BB19" s="664">
        <f t="shared" si="33"/>
        <v>50.06311009986482</v>
      </c>
      <c r="BC19" s="353"/>
    </row>
    <row r="20" spans="1:55" ht="15.75">
      <c r="A20" s="1197" t="s">
        <v>140</v>
      </c>
      <c r="B20" s="1198"/>
      <c r="C20" s="653">
        <v>0</v>
      </c>
      <c r="D20" s="653">
        <f>ОФ_Н!C27</f>
        <v>87480</v>
      </c>
      <c r="E20" s="665">
        <f>D20-D21</f>
        <v>68299.9190208</v>
      </c>
      <c r="F20" s="665">
        <f>E20-E21</f>
        <v>53325.090743573826</v>
      </c>
      <c r="G20" s="665">
        <f>F20-F21</f>
        <v>41633.5091399509</v>
      </c>
      <c r="H20" s="666"/>
      <c r="I20" s="178"/>
      <c r="J20" s="1197" t="s">
        <v>140</v>
      </c>
      <c r="K20" s="1198"/>
      <c r="L20" s="688">
        <f>C20</f>
        <v>0</v>
      </c>
      <c r="M20" s="683">
        <f aca="true" t="shared" si="34" ref="M20:S20">L20-L21</f>
        <v>0</v>
      </c>
      <c r="N20" s="683">
        <f t="shared" si="34"/>
        <v>0</v>
      </c>
      <c r="O20" s="683">
        <f t="shared" si="34"/>
        <v>0</v>
      </c>
      <c r="P20" s="683">
        <f>D20</f>
        <v>87480</v>
      </c>
      <c r="Q20" s="683">
        <f t="shared" si="34"/>
        <v>82231.2</v>
      </c>
      <c r="R20" s="683">
        <f t="shared" si="34"/>
        <v>77297.328</v>
      </c>
      <c r="S20" s="683">
        <f t="shared" si="34"/>
        <v>72659.48831999999</v>
      </c>
      <c r="T20" s="684" t="s">
        <v>625</v>
      </c>
      <c r="U20" s="683">
        <f>S20-S21</f>
        <v>68299.91902079999</v>
      </c>
      <c r="V20" s="683">
        <f aca="true" t="shared" si="35" ref="V20:BB20">U20-U21</f>
        <v>64201.92387955199</v>
      </c>
      <c r="W20" s="683">
        <f t="shared" si="35"/>
        <v>60349.80844677887</v>
      </c>
      <c r="X20" s="683">
        <f t="shared" si="35"/>
        <v>56728.81993997214</v>
      </c>
      <c r="Y20" s="683">
        <f t="shared" si="35"/>
        <v>53325.09074357381</v>
      </c>
      <c r="Z20" s="683">
        <f t="shared" si="35"/>
        <v>50125.585298959384</v>
      </c>
      <c r="AA20" s="683">
        <f t="shared" si="35"/>
        <v>47118.05018102182</v>
      </c>
      <c r="AB20" s="683">
        <f t="shared" si="35"/>
        <v>44290.96717016051</v>
      </c>
      <c r="AC20" s="683">
        <f t="shared" si="35"/>
        <v>41633.50913995088</v>
      </c>
      <c r="AD20" s="683">
        <f t="shared" si="35"/>
        <v>39135.49859155383</v>
      </c>
      <c r="AE20" s="683">
        <f t="shared" si="35"/>
        <v>36787.3686760606</v>
      </c>
      <c r="AF20" s="683">
        <f t="shared" si="35"/>
        <v>34580.126555496965</v>
      </c>
      <c r="AG20" s="684" t="s">
        <v>625</v>
      </c>
      <c r="AH20" s="683">
        <f>AF20-AF21</f>
        <v>32505.318962167148</v>
      </c>
      <c r="AI20" s="683">
        <f t="shared" si="35"/>
        <v>30554.99982443712</v>
      </c>
      <c r="AJ20" s="683">
        <f t="shared" si="35"/>
        <v>28721.699834970892</v>
      </c>
      <c r="AK20" s="683">
        <f t="shared" si="35"/>
        <v>26998.397844872638</v>
      </c>
      <c r="AL20" s="683">
        <f t="shared" si="35"/>
        <v>25378.49397418028</v>
      </c>
      <c r="AM20" s="683">
        <f t="shared" si="35"/>
        <v>23855.784335729462</v>
      </c>
      <c r="AN20" s="683">
        <f t="shared" si="35"/>
        <v>22424.437275585693</v>
      </c>
      <c r="AO20" s="683">
        <f t="shared" si="35"/>
        <v>21078.97103905055</v>
      </c>
      <c r="AP20" s="683">
        <f t="shared" si="35"/>
        <v>19814.23277670752</v>
      </c>
      <c r="AQ20" s="683">
        <f t="shared" si="35"/>
        <v>18625.378810105067</v>
      </c>
      <c r="AR20" s="683">
        <f t="shared" si="35"/>
        <v>17507.85608149876</v>
      </c>
      <c r="AS20" s="683">
        <f t="shared" si="35"/>
        <v>16457.384716608834</v>
      </c>
      <c r="AT20" s="684" t="s">
        <v>625</v>
      </c>
      <c r="AU20" s="683">
        <f>AS20-AS21</f>
        <v>15469.941633612305</v>
      </c>
      <c r="AV20" s="683">
        <f t="shared" si="35"/>
        <v>14541.745135595567</v>
      </c>
      <c r="AW20" s="683">
        <f t="shared" si="35"/>
        <v>13669.240427459834</v>
      </c>
      <c r="AX20" s="683">
        <f t="shared" si="35"/>
        <v>12849.086001812244</v>
      </c>
      <c r="AY20" s="683">
        <f t="shared" si="35"/>
        <v>12078.140841703509</v>
      </c>
      <c r="AZ20" s="683">
        <f t="shared" si="35"/>
        <v>11353.4523912013</v>
      </c>
      <c r="BA20" s="683">
        <f t="shared" si="35"/>
        <v>10672.24524772922</v>
      </c>
      <c r="BB20" s="683">
        <f t="shared" si="35"/>
        <v>10031.910532865468</v>
      </c>
      <c r="BC20" s="353"/>
    </row>
    <row r="21" spans="1:55" ht="20.25" customHeight="1" thickBot="1">
      <c r="A21" s="668" t="s">
        <v>195</v>
      </c>
      <c r="B21" s="669">
        <v>0.24</v>
      </c>
      <c r="C21" s="672">
        <f>C20*$C$34</f>
        <v>0</v>
      </c>
      <c r="D21" s="672">
        <f>D20*$C$34</f>
        <v>19180.0809792</v>
      </c>
      <c r="E21" s="672">
        <f>E20*$C$34</f>
        <v>14974.828277226183</v>
      </c>
      <c r="F21" s="672">
        <f>F20*$C$34</f>
        <v>11691.581603622933</v>
      </c>
      <c r="G21" s="672">
        <f>G20*$C$34</f>
        <v>9128.19017778374</v>
      </c>
      <c r="H21" s="671">
        <f>SUM(C21:G21)</f>
        <v>54974.68103783286</v>
      </c>
      <c r="I21" s="178"/>
      <c r="J21" s="668" t="s">
        <v>195</v>
      </c>
      <c r="K21" s="669">
        <v>0.06</v>
      </c>
      <c r="L21" s="685">
        <f aca="true" t="shared" si="36" ref="L21:S21">L20*$K$21</f>
        <v>0</v>
      </c>
      <c r="M21" s="685">
        <f t="shared" si="36"/>
        <v>0</v>
      </c>
      <c r="N21" s="685">
        <f t="shared" si="36"/>
        <v>0</v>
      </c>
      <c r="O21" s="685">
        <f t="shared" si="36"/>
        <v>0</v>
      </c>
      <c r="P21" s="664">
        <f t="shared" si="36"/>
        <v>5248.8</v>
      </c>
      <c r="Q21" s="664">
        <f t="shared" si="36"/>
        <v>4933.871999999999</v>
      </c>
      <c r="R21" s="664">
        <f t="shared" si="36"/>
        <v>4637.839679999999</v>
      </c>
      <c r="S21" s="664">
        <f t="shared" si="36"/>
        <v>4359.5692991999995</v>
      </c>
      <c r="T21" s="695" t="s">
        <v>626</v>
      </c>
      <c r="U21" s="682">
        <f aca="true" t="shared" si="37" ref="U21:AF21">U20*$K$21</f>
        <v>4097.9951412479995</v>
      </c>
      <c r="V21" s="682">
        <f t="shared" si="37"/>
        <v>3852.115432773119</v>
      </c>
      <c r="W21" s="682">
        <f t="shared" si="37"/>
        <v>3620.9885068067324</v>
      </c>
      <c r="X21" s="682">
        <f t="shared" si="37"/>
        <v>3403.7291963983284</v>
      </c>
      <c r="Y21" s="664">
        <f t="shared" si="37"/>
        <v>3199.5054446144286</v>
      </c>
      <c r="Z21" s="664">
        <f t="shared" si="37"/>
        <v>3007.535117937563</v>
      </c>
      <c r="AA21" s="664">
        <f t="shared" si="37"/>
        <v>2827.083010861309</v>
      </c>
      <c r="AB21" s="664">
        <f t="shared" si="37"/>
        <v>2657.4580302096306</v>
      </c>
      <c r="AC21" s="682">
        <f t="shared" si="37"/>
        <v>2498.010548397053</v>
      </c>
      <c r="AD21" s="682">
        <f t="shared" si="37"/>
        <v>2348.1299154932294</v>
      </c>
      <c r="AE21" s="682">
        <f t="shared" si="37"/>
        <v>2207.242120563636</v>
      </c>
      <c r="AF21" s="682">
        <f t="shared" si="37"/>
        <v>2074.807593329818</v>
      </c>
      <c r="AG21" s="695" t="s">
        <v>626</v>
      </c>
      <c r="AH21" s="664">
        <f aca="true" t="shared" si="38" ref="AH21:AS21">AH20*$K$21</f>
        <v>1950.3191377300288</v>
      </c>
      <c r="AI21" s="664">
        <f t="shared" si="38"/>
        <v>1833.299989466227</v>
      </c>
      <c r="AJ21" s="664">
        <f t="shared" si="38"/>
        <v>1723.3019900982536</v>
      </c>
      <c r="AK21" s="664">
        <f t="shared" si="38"/>
        <v>1619.9038706923582</v>
      </c>
      <c r="AL21" s="682">
        <f t="shared" si="38"/>
        <v>1522.7096384508168</v>
      </c>
      <c r="AM21" s="682">
        <f t="shared" si="38"/>
        <v>1431.3470601437677</v>
      </c>
      <c r="AN21" s="682">
        <f t="shared" si="38"/>
        <v>1345.4662365351414</v>
      </c>
      <c r="AO21" s="682">
        <f t="shared" si="38"/>
        <v>1264.7382623430328</v>
      </c>
      <c r="AP21" s="664">
        <f t="shared" si="38"/>
        <v>1188.853966602451</v>
      </c>
      <c r="AQ21" s="664">
        <f t="shared" si="38"/>
        <v>1117.5227286063039</v>
      </c>
      <c r="AR21" s="664">
        <f t="shared" si="38"/>
        <v>1050.4713648899256</v>
      </c>
      <c r="AS21" s="664">
        <f t="shared" si="38"/>
        <v>987.44308299653</v>
      </c>
      <c r="AT21" s="695" t="s">
        <v>626</v>
      </c>
      <c r="AU21" s="682">
        <f aca="true" t="shared" si="39" ref="AU21:BB21">AU20*$K$21</f>
        <v>928.1964980167382</v>
      </c>
      <c r="AV21" s="682">
        <f t="shared" si="39"/>
        <v>872.504708135734</v>
      </c>
      <c r="AW21" s="682">
        <f t="shared" si="39"/>
        <v>820.15442564759</v>
      </c>
      <c r="AX21" s="682">
        <f t="shared" si="39"/>
        <v>770.9451601087346</v>
      </c>
      <c r="AY21" s="664">
        <f t="shared" si="39"/>
        <v>724.6884505022106</v>
      </c>
      <c r="AZ21" s="664">
        <f t="shared" si="39"/>
        <v>681.207143472078</v>
      </c>
      <c r="BA21" s="664">
        <f t="shared" si="39"/>
        <v>640.3347148637532</v>
      </c>
      <c r="BB21" s="664">
        <f t="shared" si="39"/>
        <v>601.9146319719281</v>
      </c>
      <c r="BC21" s="353"/>
    </row>
    <row r="22" spans="1:55" ht="15.75">
      <c r="A22" s="1197" t="s">
        <v>143</v>
      </c>
      <c r="B22" s="1198"/>
      <c r="C22" s="655">
        <v>0</v>
      </c>
      <c r="D22" s="655">
        <f>ОФ_Н!C36</f>
        <v>101500</v>
      </c>
      <c r="E22" s="665">
        <f>D22-D23</f>
        <v>52983.63437500001</v>
      </c>
      <c r="F22" s="665">
        <f>E22-E23</f>
        <v>27657.78829146485</v>
      </c>
      <c r="G22" s="665">
        <f>F22-F23</f>
        <v>14437.538349321476</v>
      </c>
      <c r="H22" s="666"/>
      <c r="I22" s="178"/>
      <c r="J22" s="1197" t="s">
        <v>143</v>
      </c>
      <c r="K22" s="1198"/>
      <c r="L22" s="688">
        <f>C22</f>
        <v>0</v>
      </c>
      <c r="M22" s="683">
        <f aca="true" t="shared" si="40" ref="M22:S22">L22-L23</f>
        <v>0</v>
      </c>
      <c r="N22" s="683">
        <f t="shared" si="40"/>
        <v>0</v>
      </c>
      <c r="O22" s="683">
        <f t="shared" si="40"/>
        <v>0</v>
      </c>
      <c r="P22" s="683">
        <f>D22</f>
        <v>101500</v>
      </c>
      <c r="Q22" s="683">
        <f t="shared" si="40"/>
        <v>86275</v>
      </c>
      <c r="R22" s="683">
        <f t="shared" si="40"/>
        <v>73333.75</v>
      </c>
      <c r="S22" s="683">
        <f t="shared" si="40"/>
        <v>62333.6875</v>
      </c>
      <c r="T22" s="684" t="s">
        <v>628</v>
      </c>
      <c r="U22" s="683">
        <f>S22-S23</f>
        <v>52983.634375</v>
      </c>
      <c r="V22" s="683">
        <f aca="true" t="shared" si="41" ref="V22:BB22">U22-U23</f>
        <v>45036.08921875</v>
      </c>
      <c r="W22" s="683">
        <f t="shared" si="41"/>
        <v>38280.6758359375</v>
      </c>
      <c r="X22" s="683">
        <f t="shared" si="41"/>
        <v>32538.574460546875</v>
      </c>
      <c r="Y22" s="683">
        <f t="shared" si="41"/>
        <v>27657.788291464843</v>
      </c>
      <c r="Z22" s="683">
        <f t="shared" si="41"/>
        <v>23509.120047745117</v>
      </c>
      <c r="AA22" s="683">
        <f t="shared" si="41"/>
        <v>19982.75204058335</v>
      </c>
      <c r="AB22" s="683">
        <f t="shared" si="41"/>
        <v>16985.33923449585</v>
      </c>
      <c r="AC22" s="683">
        <f t="shared" si="41"/>
        <v>14437.538349321472</v>
      </c>
      <c r="AD22" s="683">
        <f t="shared" si="41"/>
        <v>12271.90759692325</v>
      </c>
      <c r="AE22" s="683">
        <f t="shared" si="41"/>
        <v>10431.121457384763</v>
      </c>
      <c r="AF22" s="683">
        <f t="shared" si="41"/>
        <v>8866.453238777049</v>
      </c>
      <c r="AG22" s="684" t="s">
        <v>628</v>
      </c>
      <c r="AH22" s="683">
        <f>AF22-AF23</f>
        <v>7536.485252960491</v>
      </c>
      <c r="AI22" s="683">
        <f t="shared" si="41"/>
        <v>6406.012465016418</v>
      </c>
      <c r="AJ22" s="683">
        <f t="shared" si="41"/>
        <v>5445.1105952639555</v>
      </c>
      <c r="AK22" s="683">
        <f t="shared" si="41"/>
        <v>4628.3440059743625</v>
      </c>
      <c r="AL22" s="683">
        <f t="shared" si="41"/>
        <v>3934.0924050782082</v>
      </c>
      <c r="AM22" s="683">
        <f t="shared" si="41"/>
        <v>3343.978544316477</v>
      </c>
      <c r="AN22" s="683">
        <f t="shared" si="41"/>
        <v>2842.381762669005</v>
      </c>
      <c r="AO22" s="683">
        <f t="shared" si="41"/>
        <v>2416.0244982686545</v>
      </c>
      <c r="AP22" s="683">
        <f t="shared" si="41"/>
        <v>2053.620823528356</v>
      </c>
      <c r="AQ22" s="683">
        <f t="shared" si="41"/>
        <v>1745.5776999991026</v>
      </c>
      <c r="AR22" s="683">
        <f t="shared" si="41"/>
        <v>1483.7410449992371</v>
      </c>
      <c r="AS22" s="683">
        <f t="shared" si="41"/>
        <v>1261.1798882493515</v>
      </c>
      <c r="AT22" s="684" t="s">
        <v>628</v>
      </c>
      <c r="AU22" s="683">
        <f>AS22-AS23</f>
        <v>1072.0029050119488</v>
      </c>
      <c r="AV22" s="683">
        <f t="shared" si="41"/>
        <v>911.2024692601565</v>
      </c>
      <c r="AW22" s="683">
        <f t="shared" si="41"/>
        <v>774.522098871133</v>
      </c>
      <c r="AX22" s="683">
        <f t="shared" si="41"/>
        <v>658.3437840404631</v>
      </c>
      <c r="AY22" s="683">
        <f t="shared" si="41"/>
        <v>559.5922164343937</v>
      </c>
      <c r="AZ22" s="683">
        <f t="shared" si="41"/>
        <v>475.6533839692346</v>
      </c>
      <c r="BA22" s="683">
        <f t="shared" si="41"/>
        <v>404.3053763738494</v>
      </c>
      <c r="BB22" s="683">
        <f t="shared" si="41"/>
        <v>343.659569917772</v>
      </c>
      <c r="BC22" s="353"/>
    </row>
    <row r="23" spans="1:55" ht="20.25" customHeight="1" thickBot="1">
      <c r="A23" s="668" t="s">
        <v>196</v>
      </c>
      <c r="B23" s="669">
        <v>0.6</v>
      </c>
      <c r="C23" s="672">
        <f>C22*$C$35</f>
        <v>0</v>
      </c>
      <c r="D23" s="672">
        <f>D22*$C$35</f>
        <v>48516.36562499999</v>
      </c>
      <c r="E23" s="672">
        <f>E22*$C$35</f>
        <v>25325.846083535158</v>
      </c>
      <c r="F23" s="672">
        <f>F22*$C$35</f>
        <v>13220.249942143375</v>
      </c>
      <c r="G23" s="672">
        <f>G22*$C$35</f>
        <v>6901.053096360982</v>
      </c>
      <c r="H23" s="671">
        <f>SUM(C23:G23)</f>
        <v>93963.5147470395</v>
      </c>
      <c r="I23" s="178"/>
      <c r="J23" s="668" t="s">
        <v>196</v>
      </c>
      <c r="K23" s="669">
        <v>0.15</v>
      </c>
      <c r="L23" s="685">
        <f aca="true" t="shared" si="42" ref="L23:S23">L22*$K$23</f>
        <v>0</v>
      </c>
      <c r="M23" s="685">
        <f t="shared" si="42"/>
        <v>0</v>
      </c>
      <c r="N23" s="685">
        <f t="shared" si="42"/>
        <v>0</v>
      </c>
      <c r="O23" s="685">
        <f t="shared" si="42"/>
        <v>0</v>
      </c>
      <c r="P23" s="664">
        <f t="shared" si="42"/>
        <v>15225</v>
      </c>
      <c r="Q23" s="664">
        <f t="shared" si="42"/>
        <v>12941.25</v>
      </c>
      <c r="R23" s="664">
        <f t="shared" si="42"/>
        <v>11000.0625</v>
      </c>
      <c r="S23" s="664">
        <f t="shared" si="42"/>
        <v>9350.053125</v>
      </c>
      <c r="T23" s="695" t="s">
        <v>629</v>
      </c>
      <c r="U23" s="682">
        <f aca="true" t="shared" si="43" ref="U23:AF23">U22*$K$23</f>
        <v>7947.54515625</v>
      </c>
      <c r="V23" s="682">
        <f t="shared" si="43"/>
        <v>6755.4133828125</v>
      </c>
      <c r="W23" s="682">
        <f t="shared" si="43"/>
        <v>5742.101375390625</v>
      </c>
      <c r="X23" s="682">
        <f t="shared" si="43"/>
        <v>4880.786169082031</v>
      </c>
      <c r="Y23" s="664">
        <f t="shared" si="43"/>
        <v>4148.668243719726</v>
      </c>
      <c r="Z23" s="664">
        <f t="shared" si="43"/>
        <v>3526.3680071617673</v>
      </c>
      <c r="AA23" s="664">
        <f t="shared" si="43"/>
        <v>2997.4128060875023</v>
      </c>
      <c r="AB23" s="664">
        <f t="shared" si="43"/>
        <v>2547.800885174377</v>
      </c>
      <c r="AC23" s="682">
        <f t="shared" si="43"/>
        <v>2165.630752398221</v>
      </c>
      <c r="AD23" s="682">
        <f t="shared" si="43"/>
        <v>1840.7861395384875</v>
      </c>
      <c r="AE23" s="682">
        <f t="shared" si="43"/>
        <v>1564.6682186077144</v>
      </c>
      <c r="AF23" s="682">
        <f t="shared" si="43"/>
        <v>1329.9679858165573</v>
      </c>
      <c r="AG23" s="695" t="s">
        <v>629</v>
      </c>
      <c r="AH23" s="664">
        <f aca="true" t="shared" si="44" ref="AH23:AS23">AH22*$K$23</f>
        <v>1130.4727879440736</v>
      </c>
      <c r="AI23" s="664">
        <f t="shared" si="44"/>
        <v>960.9018697524626</v>
      </c>
      <c r="AJ23" s="664">
        <f t="shared" si="44"/>
        <v>816.7665892895933</v>
      </c>
      <c r="AK23" s="664">
        <f t="shared" si="44"/>
        <v>694.2516008961544</v>
      </c>
      <c r="AL23" s="682">
        <f t="shared" si="44"/>
        <v>590.1138607617312</v>
      </c>
      <c r="AM23" s="682">
        <f t="shared" si="44"/>
        <v>501.5967816474715</v>
      </c>
      <c r="AN23" s="682">
        <f t="shared" si="44"/>
        <v>426.35726440035074</v>
      </c>
      <c r="AO23" s="682">
        <f t="shared" si="44"/>
        <v>362.4036747402982</v>
      </c>
      <c r="AP23" s="664">
        <f t="shared" si="44"/>
        <v>308.0431235292534</v>
      </c>
      <c r="AQ23" s="664">
        <f t="shared" si="44"/>
        <v>261.8366549998654</v>
      </c>
      <c r="AR23" s="664">
        <f t="shared" si="44"/>
        <v>222.56115674988555</v>
      </c>
      <c r="AS23" s="664">
        <f t="shared" si="44"/>
        <v>189.1769832374027</v>
      </c>
      <c r="AT23" s="695" t="s">
        <v>629</v>
      </c>
      <c r="AU23" s="682">
        <f aca="true" t="shared" si="45" ref="AU23:BB23">AU22*$K$23</f>
        <v>160.80043575179232</v>
      </c>
      <c r="AV23" s="682">
        <f t="shared" si="45"/>
        <v>136.68037038902347</v>
      </c>
      <c r="AW23" s="682">
        <f t="shared" si="45"/>
        <v>116.17831483066995</v>
      </c>
      <c r="AX23" s="682">
        <f t="shared" si="45"/>
        <v>98.75156760606946</v>
      </c>
      <c r="AY23" s="664">
        <f t="shared" si="45"/>
        <v>83.93883246515905</v>
      </c>
      <c r="AZ23" s="664">
        <f t="shared" si="45"/>
        <v>71.34800759538518</v>
      </c>
      <c r="BA23" s="664">
        <f t="shared" si="45"/>
        <v>60.64580645607741</v>
      </c>
      <c r="BB23" s="664">
        <f t="shared" si="45"/>
        <v>51.548935487665794</v>
      </c>
      <c r="BC23" s="353"/>
    </row>
    <row r="24" spans="1:55" ht="29.25" customHeight="1" thickBot="1">
      <c r="A24" s="1199" t="s">
        <v>191</v>
      </c>
      <c r="B24" s="1200"/>
      <c r="C24" s="673">
        <f>C17+C19+C21+C23</f>
        <v>0</v>
      </c>
      <c r="D24" s="673">
        <f>D17+D19+D21+D23</f>
        <v>80008.6754042</v>
      </c>
      <c r="E24" s="673">
        <f>E17+E19+E21+E23</f>
        <v>49825.68978003635</v>
      </c>
      <c r="F24" s="673">
        <f>F17+F19+F21+F23</f>
        <v>32495.8259354353</v>
      </c>
      <c r="G24" s="673">
        <f>G17+G19+G21+G23</f>
        <v>22236.123846022332</v>
      </c>
      <c r="H24" s="640">
        <f>SUM(C24:G24)</f>
        <v>184566.31496569398</v>
      </c>
      <c r="I24" s="178"/>
      <c r="J24" s="1199" t="s">
        <v>191</v>
      </c>
      <c r="K24" s="1200"/>
      <c r="L24" s="642">
        <f aca="true" t="shared" si="46" ref="L24:BB24">L17+L19+L21+L23</f>
        <v>0</v>
      </c>
      <c r="M24" s="642">
        <f t="shared" si="46"/>
        <v>0</v>
      </c>
      <c r="N24" s="642">
        <f t="shared" si="46"/>
        <v>0</v>
      </c>
      <c r="O24" s="642">
        <f t="shared" si="46"/>
        <v>0</v>
      </c>
      <c r="P24" s="642">
        <f t="shared" si="46"/>
        <v>23873.8</v>
      </c>
      <c r="Q24" s="642">
        <f t="shared" si="46"/>
        <v>21047.122</v>
      </c>
      <c r="R24" s="642">
        <f t="shared" si="46"/>
        <v>18602.46218</v>
      </c>
      <c r="S24" s="642">
        <f t="shared" si="46"/>
        <v>16485.291224200002</v>
      </c>
      <c r="T24" s="696" t="s">
        <v>627</v>
      </c>
      <c r="U24" s="693">
        <f t="shared" si="46"/>
        <v>14649.055721498</v>
      </c>
      <c r="V24" s="693">
        <f t="shared" si="46"/>
        <v>13053.99793110562</v>
      </c>
      <c r="W24" s="693">
        <f t="shared" si="46"/>
        <v>11666.151215406957</v>
      </c>
      <c r="X24" s="693">
        <f t="shared" si="46"/>
        <v>10456.484912025768</v>
      </c>
      <c r="Y24" s="642">
        <f t="shared" si="46"/>
        <v>9400.176339948655</v>
      </c>
      <c r="Z24" s="642">
        <f t="shared" si="46"/>
        <v>8475.99097008154</v>
      </c>
      <c r="AA24" s="642">
        <f t="shared" si="46"/>
        <v>7665.754626791377</v>
      </c>
      <c r="AB24" s="642">
        <f t="shared" si="46"/>
        <v>6953.903998613722</v>
      </c>
      <c r="AC24" s="693">
        <f t="shared" si="46"/>
        <v>6327.103786985994</v>
      </c>
      <c r="AD24" s="693">
        <f t="shared" si="46"/>
        <v>5773.920565661663</v>
      </c>
      <c r="AE24" s="693">
        <f t="shared" si="46"/>
        <v>5284.544906335433</v>
      </c>
      <c r="AF24" s="693">
        <f t="shared" si="46"/>
        <v>4850.554587039239</v>
      </c>
      <c r="AG24" s="696" t="s">
        <v>627</v>
      </c>
      <c r="AH24" s="642">
        <f t="shared" si="46"/>
        <v>4464.712772273964</v>
      </c>
      <c r="AI24" s="642">
        <f t="shared" si="46"/>
        <v>4120.795965864925</v>
      </c>
      <c r="AJ24" s="642">
        <f t="shared" si="46"/>
        <v>3813.4473131816917</v>
      </c>
      <c r="AK24" s="642">
        <f t="shared" si="46"/>
        <v>3538.05148905896</v>
      </c>
      <c r="AL24" s="693">
        <f t="shared" si="46"/>
        <v>3290.6279688508193</v>
      </c>
      <c r="AM24" s="693">
        <f t="shared" si="46"/>
        <v>3067.739957302254</v>
      </c>
      <c r="AN24" s="693">
        <f t="shared" si="46"/>
        <v>2866.416655875244</v>
      </c>
      <c r="AO24" s="693">
        <f t="shared" si="46"/>
        <v>2684.0868944893505</v>
      </c>
      <c r="AP24" s="642">
        <f t="shared" si="46"/>
        <v>2518.52244739816</v>
      </c>
      <c r="AQ24" s="642">
        <f t="shared" si="46"/>
        <v>2367.7896028349955</v>
      </c>
      <c r="AR24" s="642">
        <f t="shared" si="46"/>
        <v>2230.207768680991</v>
      </c>
      <c r="AS24" s="642">
        <f t="shared" si="46"/>
        <v>2104.3140773115265</v>
      </c>
      <c r="AT24" s="696" t="s">
        <v>627</v>
      </c>
      <c r="AU24" s="693">
        <f t="shared" si="46"/>
        <v>1988.833106704086</v>
      </c>
      <c r="AV24" s="693">
        <f t="shared" si="46"/>
        <v>1882.6509658731638</v>
      </c>
      <c r="AW24" s="693">
        <f t="shared" si="46"/>
        <v>1784.793104164104</v>
      </c>
      <c r="AX24" s="693">
        <f t="shared" si="46"/>
        <v>1694.4052988028968</v>
      </c>
      <c r="AY24" s="642">
        <f t="shared" si="46"/>
        <v>1610.7373558420695</v>
      </c>
      <c r="AZ24" s="642">
        <f t="shared" si="46"/>
        <v>1533.1291283722012</v>
      </c>
      <c r="BA24" s="642">
        <f t="shared" si="46"/>
        <v>1460.9985143772524</v>
      </c>
      <c r="BB24" s="642">
        <f t="shared" si="46"/>
        <v>1393.8311464247681</v>
      </c>
      <c r="BC24" s="353"/>
    </row>
    <row r="25" spans="1:55" ht="6" customHeight="1" thickBot="1" thickTop="1">
      <c r="A25" s="635"/>
      <c r="B25" s="635"/>
      <c r="C25" s="636"/>
      <c r="D25" s="636"/>
      <c r="E25" s="636"/>
      <c r="F25" s="636"/>
      <c r="G25" s="636"/>
      <c r="H25" s="637"/>
      <c r="I25" s="178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637"/>
      <c r="BC25" s="353"/>
    </row>
    <row r="26" spans="1:55" ht="29.25" customHeight="1" thickBot="1">
      <c r="A26" s="1201" t="s">
        <v>710</v>
      </c>
      <c r="B26" s="1202"/>
      <c r="C26" s="647">
        <f aca="true" t="shared" si="47" ref="C26:H26">C14+C24</f>
        <v>13264.460287780763</v>
      </c>
      <c r="D26" s="647">
        <f>D14+D24</f>
        <v>90255.1552331322</v>
      </c>
      <c r="E26" s="638">
        <f t="shared" si="47"/>
        <v>57740.85154364251</v>
      </c>
      <c r="F26" s="638">
        <f t="shared" si="47"/>
        <v>38610.09998759841</v>
      </c>
      <c r="G26" s="638">
        <f t="shared" si="47"/>
        <v>26959.255008906206</v>
      </c>
      <c r="H26" s="638">
        <f t="shared" si="47"/>
        <v>226829.82206106008</v>
      </c>
      <c r="I26" s="178"/>
      <c r="J26" s="1201" t="s">
        <v>709</v>
      </c>
      <c r="K26" s="1202"/>
      <c r="L26" s="647">
        <f aca="true" t="shared" si="48" ref="L26:BB26">L14+L24</f>
        <v>3643.70125</v>
      </c>
      <c r="M26" s="647">
        <f t="shared" si="48"/>
        <v>3415.969921875</v>
      </c>
      <c r="N26" s="647">
        <f t="shared" si="48"/>
        <v>3202.4718017578125</v>
      </c>
      <c r="O26" s="647">
        <f t="shared" si="48"/>
        <v>3002.317314147949</v>
      </c>
      <c r="P26" s="686">
        <f t="shared" si="48"/>
        <v>26688.4724820137</v>
      </c>
      <c r="Q26" s="686">
        <f t="shared" si="48"/>
        <v>23685.877451887845</v>
      </c>
      <c r="R26" s="686">
        <f t="shared" si="48"/>
        <v>21076.295416144854</v>
      </c>
      <c r="S26" s="686">
        <f t="shared" si="48"/>
        <v>18804.509883085804</v>
      </c>
      <c r="T26" s="698" t="s">
        <v>631</v>
      </c>
      <c r="U26" s="647">
        <f t="shared" si="48"/>
        <v>16823.32321420344</v>
      </c>
      <c r="V26" s="647">
        <f t="shared" si="48"/>
        <v>15092.37370551697</v>
      </c>
      <c r="W26" s="647">
        <f t="shared" si="48"/>
        <v>13577.128503917596</v>
      </c>
      <c r="X26" s="647">
        <f t="shared" si="48"/>
        <v>12248.026120004493</v>
      </c>
      <c r="Y26" s="686">
        <f t="shared" si="48"/>
        <v>11079.74622242871</v>
      </c>
      <c r="Z26" s="686">
        <f t="shared" si="48"/>
        <v>10050.587734906592</v>
      </c>
      <c r="AA26" s="686">
        <f t="shared" si="48"/>
        <v>9141.939093814863</v>
      </c>
      <c r="AB26" s="686">
        <f t="shared" si="48"/>
        <v>8337.82693644824</v>
      </c>
      <c r="AC26" s="647">
        <f t="shared" si="48"/>
        <v>7624.531541205854</v>
      </c>
      <c r="AD26" s="647">
        <f t="shared" si="48"/>
        <v>6990.259085242782</v>
      </c>
      <c r="AE26" s="647">
        <f t="shared" si="48"/>
        <v>6424.862268442732</v>
      </c>
      <c r="AF26" s="647">
        <f t="shared" si="48"/>
        <v>5919.602114014831</v>
      </c>
      <c r="AG26" s="698" t="s">
        <v>631</v>
      </c>
      <c r="AH26" s="686">
        <f t="shared" si="48"/>
        <v>5466.944828813583</v>
      </c>
      <c r="AI26" s="686">
        <f t="shared" si="48"/>
        <v>5060.388518870817</v>
      </c>
      <c r="AJ26" s="686">
        <f t="shared" si="48"/>
        <v>4694.315331624715</v>
      </c>
      <c r="AK26" s="686">
        <f t="shared" si="48"/>
        <v>4363.865256349295</v>
      </c>
      <c r="AL26" s="647">
        <f t="shared" si="48"/>
        <v>4064.828375685508</v>
      </c>
      <c r="AM26" s="647">
        <f t="shared" si="48"/>
        <v>3793.5528387097747</v>
      </c>
      <c r="AN26" s="647">
        <f t="shared" si="48"/>
        <v>3546.866232194795</v>
      </c>
      <c r="AO26" s="647">
        <f t="shared" si="48"/>
        <v>3322.0083722889294</v>
      </c>
      <c r="AP26" s="686">
        <f t="shared" si="48"/>
        <v>3116.573832835265</v>
      </c>
      <c r="AQ26" s="686">
        <f t="shared" si="48"/>
        <v>2928.462776682282</v>
      </c>
      <c r="AR26" s="686">
        <f t="shared" si="48"/>
        <v>2755.838869162822</v>
      </c>
      <c r="AS26" s="686">
        <f t="shared" si="48"/>
        <v>2597.093234013243</v>
      </c>
      <c r="AT26" s="698" t="s">
        <v>631</v>
      </c>
      <c r="AU26" s="647">
        <f t="shared" si="48"/>
        <v>2450.813566111945</v>
      </c>
      <c r="AV26" s="647">
        <f t="shared" si="48"/>
        <v>2315.7576465680318</v>
      </c>
      <c r="AW26" s="647">
        <f t="shared" si="48"/>
        <v>2190.830617315543</v>
      </c>
      <c r="AX26" s="647">
        <f t="shared" si="48"/>
        <v>2075.0654673823706</v>
      </c>
      <c r="AY26" s="686">
        <f t="shared" si="48"/>
        <v>1967.6062638853261</v>
      </c>
      <c r="AZ26" s="686">
        <f t="shared" si="48"/>
        <v>1867.6937296627543</v>
      </c>
      <c r="BA26" s="686">
        <f t="shared" si="48"/>
        <v>1774.652828087146</v>
      </c>
      <c r="BB26" s="686">
        <f t="shared" si="48"/>
        <v>1687.8820655277934</v>
      </c>
      <c r="BC26" s="353"/>
    </row>
    <row r="27" spans="1:55" ht="21.75" customHeight="1" thickTop="1">
      <c r="A27" s="622" t="s">
        <v>1</v>
      </c>
      <c r="B27" s="176"/>
      <c r="C27" s="177"/>
      <c r="D27" s="177"/>
      <c r="E27" s="177"/>
      <c r="F27" s="177"/>
      <c r="G27" s="177"/>
      <c r="H27" s="177"/>
      <c r="I27" s="177"/>
      <c r="J27" s="177"/>
      <c r="K27" s="178"/>
      <c r="L27" s="178"/>
      <c r="M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353"/>
    </row>
    <row r="28" spans="1:55" ht="73.5" customHeight="1">
      <c r="A28" s="1196" t="s">
        <v>0</v>
      </c>
      <c r="B28" s="1196"/>
      <c r="C28" s="1196"/>
      <c r="D28" s="1196"/>
      <c r="E28" s="1196"/>
      <c r="F28" s="1196"/>
      <c r="G28" s="1196"/>
      <c r="H28" s="1196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353"/>
    </row>
    <row r="29" spans="1:55" ht="50.25" customHeight="1">
      <c r="A29" s="1196" t="s">
        <v>72</v>
      </c>
      <c r="B29" s="1196"/>
      <c r="C29" s="1196"/>
      <c r="D29" s="1196"/>
      <c r="E29" s="1196"/>
      <c r="F29" s="1196"/>
      <c r="G29" s="1196"/>
      <c r="H29" s="1196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353"/>
    </row>
    <row r="30" spans="1:55" ht="60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</row>
    <row r="31" spans="1:54" ht="60" customHeight="1">
      <c r="A31" s="1195" t="s">
        <v>87</v>
      </c>
      <c r="B31" s="1195"/>
      <c r="C31" s="659" t="s">
        <v>88</v>
      </c>
      <c r="D31" s="699" t="s">
        <v>110</v>
      </c>
      <c r="E31" s="699" t="s">
        <v>711</v>
      </c>
      <c r="F31" s="699" t="s">
        <v>728</v>
      </c>
      <c r="G31" s="699" t="s">
        <v>634</v>
      </c>
      <c r="H31" s="660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</row>
    <row r="32" spans="1:54" s="657" customFormat="1" ht="18" customHeight="1">
      <c r="A32" s="1192" t="s">
        <v>73</v>
      </c>
      <c r="B32" s="1192"/>
      <c r="C32" s="658">
        <f>2%*(1+0.98+0.98*0.98+0.98*0.98*0.98)</f>
        <v>0.07763184</v>
      </c>
      <c r="D32" s="703" t="s">
        <v>77</v>
      </c>
      <c r="E32" s="700">
        <v>0.08</v>
      </c>
      <c r="F32" s="700">
        <v>0.02</v>
      </c>
      <c r="G32" s="701">
        <f>1-F32</f>
        <v>0.98</v>
      </c>
      <c r="H32" s="661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656"/>
    </row>
    <row r="33" spans="1:54" s="657" customFormat="1" ht="18" customHeight="1">
      <c r="A33" s="1192" t="s">
        <v>75</v>
      </c>
      <c r="B33" s="1192"/>
      <c r="C33" s="658">
        <f>10%*(1+0.9+0.9*0.9+0.9*0.9*0.9)</f>
        <v>0.34390000000000004</v>
      </c>
      <c r="D33" s="703" t="s">
        <v>78</v>
      </c>
      <c r="E33" s="700">
        <v>0.4</v>
      </c>
      <c r="F33" s="700">
        <v>0.1</v>
      </c>
      <c r="G33" s="701">
        <f>1-F33</f>
        <v>0.9</v>
      </c>
      <c r="H33" s="661"/>
      <c r="I33" s="656"/>
      <c r="J33" s="656"/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6"/>
      <c r="AH33" s="656"/>
      <c r="AI33" s="656"/>
      <c r="AJ33" s="656"/>
      <c r="AK33" s="656"/>
      <c r="AL33" s="656"/>
      <c r="AM33" s="656"/>
      <c r="AN33" s="656"/>
      <c r="AO33" s="656"/>
      <c r="AP33" s="656"/>
      <c r="AQ33" s="656"/>
      <c r="AR33" s="656"/>
      <c r="AS33" s="656"/>
      <c r="AT33" s="656"/>
      <c r="AU33" s="656"/>
      <c r="AV33" s="656"/>
      <c r="AW33" s="656"/>
      <c r="AX33" s="656"/>
      <c r="AY33" s="656"/>
      <c r="AZ33" s="656"/>
      <c r="BA33" s="656"/>
      <c r="BB33" s="656"/>
    </row>
    <row r="34" spans="1:54" s="657" customFormat="1" ht="15.75">
      <c r="A34" s="1192" t="s">
        <v>74</v>
      </c>
      <c r="B34" s="1192"/>
      <c r="C34" s="658">
        <f>6%*(1+0.94+0.94*0.94+0.94*0.94*0.94)</f>
        <v>0.21925103999999998</v>
      </c>
      <c r="D34" s="703" t="s">
        <v>80</v>
      </c>
      <c r="E34" s="700">
        <v>0.24</v>
      </c>
      <c r="F34" s="700">
        <v>0.06</v>
      </c>
      <c r="G34" s="701">
        <f>1-F34</f>
        <v>0.94</v>
      </c>
      <c r="H34" s="661"/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656"/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6"/>
      <c r="AZ34" s="656"/>
      <c r="BA34" s="656"/>
      <c r="BB34" s="656"/>
    </row>
    <row r="35" spans="1:54" s="657" customFormat="1" ht="15.75">
      <c r="A35" s="1192" t="s">
        <v>76</v>
      </c>
      <c r="B35" s="1192"/>
      <c r="C35" s="658">
        <f>15%*(1+0.85+0.85*0.85+0.85*0.85*0.85)</f>
        <v>0.47799374999999994</v>
      </c>
      <c r="D35" s="703" t="s">
        <v>79</v>
      </c>
      <c r="E35" s="700">
        <v>0.6</v>
      </c>
      <c r="F35" s="700">
        <v>0.15</v>
      </c>
      <c r="G35" s="701">
        <f>1-F35</f>
        <v>0.85</v>
      </c>
      <c r="H35" s="661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656"/>
      <c r="AS35" s="656"/>
      <c r="AT35" s="656"/>
      <c r="AU35" s="656"/>
      <c r="AV35" s="656"/>
      <c r="AW35" s="656"/>
      <c r="AX35" s="656"/>
      <c r="AY35" s="656"/>
      <c r="AZ35" s="656"/>
      <c r="BA35" s="656"/>
      <c r="BB35" s="656"/>
    </row>
    <row r="36" spans="1:54" ht="12.75">
      <c r="A36" s="662"/>
      <c r="B36" s="662"/>
      <c r="C36" s="662"/>
      <c r="D36" s="704"/>
      <c r="E36" s="660"/>
      <c r="F36" s="660"/>
      <c r="G36" s="660"/>
      <c r="H36" s="660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</row>
    <row r="37" spans="1:54" ht="60" customHeight="1">
      <c r="A37" s="1195" t="s">
        <v>111</v>
      </c>
      <c r="B37" s="1195"/>
      <c r="C37" s="659" t="s">
        <v>88</v>
      </c>
      <c r="D37" s="699" t="s">
        <v>112</v>
      </c>
      <c r="E37" s="699" t="s">
        <v>728</v>
      </c>
      <c r="F37" s="699" t="s">
        <v>728</v>
      </c>
      <c r="G37" s="699" t="s">
        <v>634</v>
      </c>
      <c r="H37" s="660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8" spans="1:54" ht="15.75">
      <c r="A38" s="1192" t="s">
        <v>113</v>
      </c>
      <c r="B38" s="1192"/>
      <c r="C38" s="658">
        <f>1.25%*(1+0.9875+0.9875*0.9875+0.9875*0.9875*0.9875)</f>
        <v>0.049070288085937504</v>
      </c>
      <c r="D38" s="703" t="s">
        <v>77</v>
      </c>
      <c r="E38" s="700">
        <v>0.05</v>
      </c>
      <c r="F38" s="700">
        <v>0.0125</v>
      </c>
      <c r="G38" s="702">
        <f>1-F38</f>
        <v>0.9875</v>
      </c>
      <c r="H38" s="660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</row>
    <row r="39" spans="1:54" ht="15.75">
      <c r="A39" s="1192" t="s">
        <v>114</v>
      </c>
      <c r="B39" s="1192"/>
      <c r="C39" s="658">
        <f>6.25%*(1+0.9375+0.9375*0.9375+0.9375*0.9375*0.9375)</f>
        <v>0.2275238037109375</v>
      </c>
      <c r="D39" s="703" t="s">
        <v>78</v>
      </c>
      <c r="E39" s="700">
        <v>0.25</v>
      </c>
      <c r="F39" s="700">
        <v>0.0625</v>
      </c>
      <c r="G39" s="702">
        <f>1-F39</f>
        <v>0.9375</v>
      </c>
      <c r="H39" s="660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</row>
    <row r="40" spans="1:54" ht="15.75">
      <c r="A40" s="1192" t="s">
        <v>115</v>
      </c>
      <c r="B40" s="1192"/>
      <c r="C40" s="658">
        <f>3.75%*(1+0.9625+0.9625*0.9625+0.9625*0.9625*0.9625)</f>
        <v>0.14177145996093748</v>
      </c>
      <c r="D40" s="703" t="s">
        <v>80</v>
      </c>
      <c r="E40" s="700">
        <v>0.15</v>
      </c>
      <c r="F40" s="700">
        <v>0.0375</v>
      </c>
      <c r="G40" s="702">
        <f>1-F40</f>
        <v>0.9625</v>
      </c>
      <c r="H40" s="660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</row>
    <row r="41" spans="1:54" ht="12.75">
      <c r="A41" s="662"/>
      <c r="B41" s="662"/>
      <c r="C41" s="660"/>
      <c r="D41" s="660"/>
      <c r="E41" s="660"/>
      <c r="F41" s="660"/>
      <c r="G41" s="660"/>
      <c r="H41" s="660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</row>
    <row r="42" spans="3:54" ht="12.75"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</row>
    <row r="43" spans="3:54" ht="12.75"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</row>
    <row r="44" spans="3:54" ht="12.75"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</row>
    <row r="45" spans="3:54" ht="12.75"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</row>
    <row r="46" spans="3:54" ht="12.75"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</row>
    <row r="47" spans="3:54" ht="12.75"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</row>
    <row r="48" spans="3:54" ht="12.75"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</row>
    <row r="49" spans="3:54" ht="12.75"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</row>
    <row r="50" spans="3:54" ht="12.75"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</row>
    <row r="51" spans="3:54" ht="12.75"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</row>
    <row r="52" spans="3:54" ht="12.75"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</row>
    <row r="53" spans="3:54" ht="12.75"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</row>
    <row r="54" spans="3:54" ht="12.75"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</row>
    <row r="55" spans="3:54" ht="12.75"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</row>
    <row r="56" spans="3:54" ht="12.75"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</row>
    <row r="57" spans="3:54" ht="12.75"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</row>
    <row r="58" spans="3:54" ht="12.75"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</row>
    <row r="59" spans="3:54" ht="12.75"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</row>
    <row r="60" spans="3:54" ht="12.75"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</row>
    <row r="61" spans="3:54" ht="12.75"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</row>
    <row r="62" spans="3:54" ht="12.75"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</row>
    <row r="63" spans="3:54" ht="12.75"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</row>
    <row r="64" spans="3:54" ht="12.75"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</row>
    <row r="65" spans="3:54" ht="12.75"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</row>
    <row r="66" spans="3:54" ht="12.75"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</row>
    <row r="67" spans="3:54" ht="12.75"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</row>
    <row r="68" spans="3:54" ht="12.75"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</row>
    <row r="69" spans="3:54" ht="12.75"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</row>
    <row r="70" spans="3:54" ht="12.75"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</row>
    <row r="71" spans="3:54" ht="12.75"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</row>
    <row r="72" spans="3:54" ht="12.75"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</row>
    <row r="73" spans="3:54" ht="12.75"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</row>
    <row r="74" spans="3:54" ht="12.75"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</row>
    <row r="75" spans="3:54" ht="12.75"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</row>
    <row r="76" spans="3:54" ht="12.75"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</row>
    <row r="77" spans="3:54" ht="12.75"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</row>
    <row r="78" spans="3:54" ht="12.75"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</row>
    <row r="79" spans="3:54" ht="12.75"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</row>
    <row r="80" spans="3:54" ht="12.75"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</row>
    <row r="81" spans="3:54" ht="12.75"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</row>
    <row r="82" spans="3:54" ht="12.75"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</row>
    <row r="83" spans="3:54" ht="12.75"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</row>
    <row r="84" spans="3:54" ht="12.75"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</row>
    <row r="85" spans="3:54" ht="12.75"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</row>
    <row r="86" spans="3:54" ht="12.75"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</row>
    <row r="87" spans="3:54" ht="12.75"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</row>
    <row r="88" spans="3:54" ht="12.75"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</row>
    <row r="89" spans="3:54" ht="12.75"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</row>
    <row r="90" spans="3:54" ht="12.75"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</row>
    <row r="91" spans="3:54" ht="12.75"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</row>
    <row r="92" spans="3:54" ht="12.75"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</row>
    <row r="93" spans="3:54" ht="12.75"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</row>
    <row r="94" spans="3:54" ht="12.75"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</row>
    <row r="95" spans="3:54" ht="12.75"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</row>
    <row r="96" spans="3:54" ht="12.75"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</row>
    <row r="97" spans="3:54" ht="12.75"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</row>
    <row r="98" spans="3:54" ht="12.75"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</row>
    <row r="99" spans="3:54" ht="12.75"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</row>
    <row r="100" spans="3:54" ht="12.75"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</row>
    <row r="101" spans="3:54" ht="12.75"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</row>
    <row r="102" spans="3:54" ht="12.75"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</row>
    <row r="103" spans="3:54" ht="12.75"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</row>
    <row r="104" spans="3:54" ht="12.75"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</row>
    <row r="105" spans="3:54" ht="12.75"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</row>
    <row r="106" spans="3:54" ht="12.75"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</row>
    <row r="107" spans="3:54" ht="12.75"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</row>
    <row r="108" spans="3:54" ht="12.75"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</row>
    <row r="109" spans="3:54" ht="12.75"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</row>
    <row r="110" spans="3:54" ht="12.75"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</row>
    <row r="111" spans="3:54" ht="12.75"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</row>
    <row r="112" spans="3:54" ht="12.75"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</row>
    <row r="113" spans="3:54" ht="12.75"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</row>
    <row r="114" spans="3:54" ht="12.75"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</row>
    <row r="115" spans="3:54" ht="12.75"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</row>
    <row r="116" spans="3:54" ht="12.75"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</row>
    <row r="117" spans="3:54" ht="12.75"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</row>
    <row r="118" spans="3:54" ht="12.75"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</row>
    <row r="119" spans="3:54" ht="12.75"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</row>
    <row r="120" spans="3:54" ht="12.75"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</row>
    <row r="121" spans="3:54" ht="12.75"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</row>
    <row r="122" spans="3:54" ht="12.75"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</row>
    <row r="123" spans="3:54" ht="12.75"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</row>
    <row r="124" spans="3:54" ht="12.75"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</row>
    <row r="125" spans="3:54" ht="12.75"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</row>
    <row r="126" spans="3:54" ht="12.75"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</row>
    <row r="127" spans="3:54" ht="12.75"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</row>
    <row r="128" spans="3:54" ht="12.75"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</row>
    <row r="129" spans="3:54" ht="12.75"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</row>
    <row r="130" spans="3:54" ht="12.75"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</row>
    <row r="131" spans="3:54" ht="12.75"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</row>
    <row r="132" spans="3:54" ht="12.75"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</row>
    <row r="133" spans="3:54" ht="12.75"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</row>
    <row r="134" spans="3:54" ht="12.75"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</row>
    <row r="135" spans="3:54" ht="12.75"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</row>
    <row r="136" spans="3:54" ht="12.75"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</row>
    <row r="137" spans="3:54" ht="12.75"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</row>
    <row r="138" spans="3:54" ht="12.75"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</row>
    <row r="139" spans="3:54" ht="12.75"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</row>
    <row r="140" spans="3:54" ht="12.75"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</row>
    <row r="141" spans="3:54" ht="12.75"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</row>
    <row r="142" spans="3:54" ht="12.75"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</row>
    <row r="143" spans="3:54" ht="12.75"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</row>
    <row r="144" spans="3:54" ht="12.75"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</row>
    <row r="145" spans="3:54" ht="12.75"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</row>
    <row r="146" spans="3:54" ht="12.75"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</row>
    <row r="147" spans="3:54" ht="12.75"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</row>
    <row r="148" spans="3:54" ht="12.75"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</row>
    <row r="149" spans="3:54" ht="12.75"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</row>
    <row r="150" spans="3:54" ht="12.75"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</row>
    <row r="151" spans="3:54" ht="12.75"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</row>
    <row r="152" spans="3:54" ht="12.75"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</row>
    <row r="153" spans="3:54" ht="12.75"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</row>
    <row r="154" spans="3:54" ht="12.75"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</row>
    <row r="155" spans="3:54" ht="12.75"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</row>
    <row r="156" spans="3:54" ht="12.75"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</row>
    <row r="157" spans="3:54" ht="12.75"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</row>
    <row r="158" spans="3:54" ht="12.75"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</row>
    <row r="159" spans="3:54" ht="12.75"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</row>
    <row r="160" spans="3:54" ht="12.75"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</row>
    <row r="161" spans="3:54" ht="12.75"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</row>
    <row r="162" spans="3:54" ht="12.75"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</row>
    <row r="163" spans="3:54" ht="12.75"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</row>
    <row r="164" spans="3:54" ht="12.75"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</row>
    <row r="165" spans="3:54" ht="12.75"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</row>
    <row r="166" spans="3:54" ht="12.75"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</row>
    <row r="167" spans="3:54" ht="12.75"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</row>
    <row r="168" spans="3:54" ht="12.75"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</row>
    <row r="169" spans="3:54" ht="12.75"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</row>
    <row r="170" spans="3:54" ht="12.75"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</row>
    <row r="171" spans="3:54" ht="12.75"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</row>
    <row r="172" spans="3:54" ht="12.75"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</row>
    <row r="173" spans="3:54" ht="12.75"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</row>
    <row r="174" spans="3:54" ht="12.75"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</row>
    <row r="175" spans="3:54" ht="12.75"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</row>
    <row r="176" spans="3:54" ht="12.75"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</row>
    <row r="177" spans="3:54" ht="12.75"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</row>
    <row r="178" spans="3:54" ht="12.75"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</row>
    <row r="179" spans="3:54" ht="12.75"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</row>
    <row r="180" spans="3:54" ht="12.75"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</row>
    <row r="181" spans="3:54" ht="12.75"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</row>
    <row r="182" spans="3:54" ht="12.75"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</row>
    <row r="183" spans="3:54" ht="12.75"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</row>
    <row r="184" spans="3:54" ht="12.75"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</row>
    <row r="185" spans="3:54" ht="12.75"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</row>
    <row r="186" spans="3:54" ht="12.75"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</row>
    <row r="187" spans="3:54" ht="12.75"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</row>
    <row r="188" spans="3:54" ht="12.75"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</row>
    <row r="189" spans="3:54" ht="12.75"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</row>
    <row r="190" spans="3:54" ht="12.75"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</row>
    <row r="191" spans="3:54" ht="12.75"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</row>
    <row r="192" spans="3:54" ht="12.75"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</row>
    <row r="193" spans="3:54" ht="12.75"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</row>
    <row r="194" spans="3:54" ht="12.75"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</row>
    <row r="195" spans="3:54" ht="12.75"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</row>
    <row r="196" spans="3:54" ht="12.75"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</row>
    <row r="197" spans="3:54" ht="12.75"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</row>
    <row r="198" spans="3:54" ht="12.75"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</row>
    <row r="199" spans="3:54" ht="12.75"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</row>
    <row r="200" spans="3:54" ht="12.75"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</row>
    <row r="201" spans="3:54" ht="12.75"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</row>
    <row r="202" spans="3:54" ht="12.75"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</row>
    <row r="203" spans="3:54" ht="12.75"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</row>
    <row r="204" spans="3:54" ht="12.75"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</row>
    <row r="205" spans="3:54" ht="12.75"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</row>
    <row r="206" spans="3:54" ht="12.75"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</row>
    <row r="207" spans="3:54" ht="12.75"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</row>
    <row r="208" spans="3:54" ht="12.75"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</row>
    <row r="209" spans="3:54" ht="12.75"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</row>
    <row r="210" spans="3:54" ht="12.75"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  <c r="BA210" s="178"/>
      <c r="BB210" s="178"/>
    </row>
    <row r="211" spans="3:54" ht="12.75"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  <c r="BA211" s="178"/>
      <c r="BB211" s="178"/>
    </row>
    <row r="212" spans="3:54" ht="12.75"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</row>
    <row r="213" spans="3:54" ht="12.75"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</row>
    <row r="214" spans="3:54" ht="12.75"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  <c r="BA214" s="178"/>
      <c r="BB214" s="178"/>
    </row>
    <row r="215" spans="3:54" ht="12.75"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</row>
    <row r="216" spans="3:54" ht="12.75"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</row>
    <row r="217" spans="3:54" ht="12.75"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8"/>
      <c r="AX217" s="178"/>
      <c r="AY217" s="178"/>
      <c r="AZ217" s="178"/>
      <c r="BA217" s="178"/>
      <c r="BB217" s="178"/>
    </row>
    <row r="218" spans="3:54" ht="12.75"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</row>
    <row r="219" spans="3:54" ht="12.75"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</row>
    <row r="220" spans="3:54" ht="12.75"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</row>
    <row r="221" spans="3:54" ht="12.75"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</row>
    <row r="222" spans="3:54" ht="12.75"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178"/>
      <c r="AY222" s="178"/>
      <c r="AZ222" s="178"/>
      <c r="BA222" s="178"/>
      <c r="BB222" s="178"/>
    </row>
    <row r="223" spans="3:54" ht="12.75"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</row>
    <row r="224" spans="3:54" ht="12.75"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8"/>
      <c r="AT224" s="178"/>
      <c r="AU224" s="178"/>
      <c r="AV224" s="178"/>
      <c r="AW224" s="178"/>
      <c r="AX224" s="178"/>
      <c r="AY224" s="178"/>
      <c r="AZ224" s="178"/>
      <c r="BA224" s="178"/>
      <c r="BB224" s="178"/>
    </row>
    <row r="225" spans="3:54" ht="12.75"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8"/>
      <c r="AT225" s="178"/>
      <c r="AU225" s="178"/>
      <c r="AV225" s="178"/>
      <c r="AW225" s="178"/>
      <c r="AX225" s="178"/>
      <c r="AY225" s="178"/>
      <c r="AZ225" s="178"/>
      <c r="BA225" s="178"/>
      <c r="BB225" s="178"/>
    </row>
    <row r="226" spans="3:54" ht="12.75"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</row>
    <row r="227" spans="3:54" ht="12.75"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78"/>
      <c r="AT227" s="178"/>
      <c r="AU227" s="178"/>
      <c r="AV227" s="178"/>
      <c r="AW227" s="178"/>
      <c r="AX227" s="178"/>
      <c r="AY227" s="178"/>
      <c r="AZ227" s="178"/>
      <c r="BA227" s="178"/>
      <c r="BB227" s="178"/>
    </row>
    <row r="228" spans="3:54" ht="12.75"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</row>
    <row r="229" spans="3:54" ht="12.75"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</row>
    <row r="230" spans="3:54" ht="12.75"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</row>
    <row r="231" spans="3:54" ht="12.75"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</row>
    <row r="232" spans="3:54" ht="12.75"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</row>
    <row r="233" spans="3:54" ht="12.75"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</row>
    <row r="234" spans="3:54" ht="12.75"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</row>
    <row r="235" spans="3:54" ht="12.75"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  <c r="AR235" s="178"/>
      <c r="AS235" s="178"/>
      <c r="AT235" s="178"/>
      <c r="AU235" s="178"/>
      <c r="AV235" s="178"/>
      <c r="AW235" s="178"/>
      <c r="AX235" s="178"/>
      <c r="AY235" s="178"/>
      <c r="AZ235" s="178"/>
      <c r="BA235" s="178"/>
      <c r="BB235" s="178"/>
    </row>
    <row r="236" spans="3:54" ht="12.75"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</row>
    <row r="237" spans="3:54" ht="12.75"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</row>
    <row r="238" spans="3:54" ht="12.75"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</row>
  </sheetData>
  <sheetProtection/>
  <mergeCells count="72">
    <mergeCell ref="A18:B18"/>
    <mergeCell ref="A20:B20"/>
    <mergeCell ref="J14:K14"/>
    <mergeCell ref="J16:K16"/>
    <mergeCell ref="J20:K20"/>
    <mergeCell ref="A16:B16"/>
    <mergeCell ref="A14:B14"/>
    <mergeCell ref="L2:O2"/>
    <mergeCell ref="C4:G4"/>
    <mergeCell ref="L4:O4"/>
    <mergeCell ref="J18:K18"/>
    <mergeCell ref="J8:K8"/>
    <mergeCell ref="J10:K10"/>
    <mergeCell ref="J2:K2"/>
    <mergeCell ref="J4:J5"/>
    <mergeCell ref="K4:K5"/>
    <mergeCell ref="J12:K12"/>
    <mergeCell ref="A10:B10"/>
    <mergeCell ref="A12:B12"/>
    <mergeCell ref="A15:H15"/>
    <mergeCell ref="U2:X2"/>
    <mergeCell ref="U4:X4"/>
    <mergeCell ref="P2:S2"/>
    <mergeCell ref="A2:H2"/>
    <mergeCell ref="P4:S4"/>
    <mergeCell ref="A4:A5"/>
    <mergeCell ref="B4:B5"/>
    <mergeCell ref="Y2:AB2"/>
    <mergeCell ref="Y4:AB4"/>
    <mergeCell ref="AU2:AX2"/>
    <mergeCell ref="AU4:AX4"/>
    <mergeCell ref="AT4:AT5"/>
    <mergeCell ref="AH2:AK2"/>
    <mergeCell ref="AH4:AK4"/>
    <mergeCell ref="AP2:AS2"/>
    <mergeCell ref="AL2:AO2"/>
    <mergeCell ref="AL4:AO4"/>
    <mergeCell ref="T15:AF15"/>
    <mergeCell ref="AY2:BB2"/>
    <mergeCell ref="AY4:BB4"/>
    <mergeCell ref="AG15:AS15"/>
    <mergeCell ref="AT7:BB7"/>
    <mergeCell ref="AT15:BB15"/>
    <mergeCell ref="AC2:AF2"/>
    <mergeCell ref="AC4:AF4"/>
    <mergeCell ref="H4:H5"/>
    <mergeCell ref="A7:H7"/>
    <mergeCell ref="A8:B8"/>
    <mergeCell ref="T4:T5"/>
    <mergeCell ref="AG4:AG5"/>
    <mergeCell ref="T7:AF7"/>
    <mergeCell ref="AG7:AS7"/>
    <mergeCell ref="AP4:AS4"/>
    <mergeCell ref="A34:B34"/>
    <mergeCell ref="J22:K22"/>
    <mergeCell ref="J24:K24"/>
    <mergeCell ref="J26:K26"/>
    <mergeCell ref="A33:B33"/>
    <mergeCell ref="A24:B24"/>
    <mergeCell ref="A26:B26"/>
    <mergeCell ref="A28:H28"/>
    <mergeCell ref="A22:B22"/>
    <mergeCell ref="A38:B38"/>
    <mergeCell ref="A39:B39"/>
    <mergeCell ref="A40:B40"/>
    <mergeCell ref="J7:S7"/>
    <mergeCell ref="J15:S15"/>
    <mergeCell ref="A35:B35"/>
    <mergeCell ref="A31:B31"/>
    <mergeCell ref="A29:H29"/>
    <mergeCell ref="A37:B37"/>
    <mergeCell ref="A32:B32"/>
  </mergeCells>
  <printOptions horizontalCentered="1"/>
  <pageMargins left="0.2" right="0.76" top="0.9" bottom="0.21" header="0.5118110236220472" footer="0.2"/>
  <pageSetup horizontalDpi="600" verticalDpi="600" orientation="landscape" paperSize="9" scale="77" r:id="rId2"/>
  <colBreaks count="4" manualBreakCount="4">
    <brk id="8" max="34" man="1"/>
    <brk id="19" max="28" man="1"/>
    <brk id="32" max="28" man="1"/>
    <brk id="45" max="2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75" zoomScaleNormal="75" zoomScalePageLayoutView="0" workbookViewId="0" topLeftCell="A33">
      <selection activeCell="F33" sqref="F33"/>
    </sheetView>
  </sheetViews>
  <sheetFormatPr defaultColWidth="9.00390625" defaultRowHeight="12.75"/>
  <cols>
    <col min="1" max="5" width="30.625" style="83" customWidth="1"/>
    <col min="6" max="6" width="24.75390625" style="83" customWidth="1"/>
    <col min="7" max="7" width="13.125" style="83" bestFit="1" customWidth="1"/>
    <col min="8" max="8" width="5.125" style="83" customWidth="1"/>
    <col min="9" max="9" width="11.625" style="83" bestFit="1" customWidth="1"/>
    <col min="10" max="16384" width="9.125" style="83" customWidth="1"/>
  </cols>
  <sheetData>
    <row r="1" spans="5:6" ht="24" customHeight="1">
      <c r="E1" s="406" t="s">
        <v>822</v>
      </c>
      <c r="F1" s="340"/>
    </row>
    <row r="2" spans="1:6" ht="18">
      <c r="A2" s="1237" t="s">
        <v>242</v>
      </c>
      <c r="B2" s="1237"/>
      <c r="C2" s="1237"/>
      <c r="D2" s="1237"/>
      <c r="E2" s="1237"/>
      <c r="F2" s="340"/>
    </row>
    <row r="3" spans="1:6" ht="15">
      <c r="A3" s="1238" t="s">
        <v>55</v>
      </c>
      <c r="B3" s="1238"/>
      <c r="C3" s="1238"/>
      <c r="D3" s="1238"/>
      <c r="E3" s="1238"/>
      <c r="F3" s="340"/>
    </row>
    <row r="4" spans="1:6" ht="23.25" customHeight="1">
      <c r="A4" s="1238" t="s">
        <v>821</v>
      </c>
      <c r="B4" s="1238"/>
      <c r="C4" s="1238"/>
      <c r="D4" s="1238"/>
      <c r="E4" s="1238"/>
      <c r="F4" s="340"/>
    </row>
    <row r="5" ht="6" customHeight="1">
      <c r="F5" s="340"/>
    </row>
    <row r="6" spans="1:6" ht="30" customHeight="1">
      <c r="A6" s="1239" t="s">
        <v>243</v>
      </c>
      <c r="B6" s="1239"/>
      <c r="C6" s="1239"/>
      <c r="D6" s="1239"/>
      <c r="E6" s="1239"/>
      <c r="F6" s="340"/>
    </row>
    <row r="7" spans="1:6" ht="21" customHeight="1">
      <c r="A7" s="1030" t="s">
        <v>473</v>
      </c>
      <c r="B7" s="1031" t="s">
        <v>472</v>
      </c>
      <c r="C7" s="1031" t="s">
        <v>470</v>
      </c>
      <c r="D7" s="1031" t="s">
        <v>401</v>
      </c>
      <c r="E7" s="1032" t="s">
        <v>402</v>
      </c>
      <c r="F7" s="340"/>
    </row>
    <row r="8" spans="1:6" ht="18" customHeight="1">
      <c r="A8" s="1235" t="s">
        <v>86</v>
      </c>
      <c r="B8" s="1236"/>
      <c r="C8" s="1236"/>
      <c r="D8" s="1236"/>
      <c r="E8" s="1236"/>
      <c r="F8" s="340"/>
    </row>
    <row r="9" spans="1:6" ht="27" customHeight="1">
      <c r="A9" s="366">
        <v>0</v>
      </c>
      <c r="B9" s="366">
        <f>МАТ!D33</f>
        <v>157454</v>
      </c>
      <c r="C9" s="366">
        <f>B9*1.02</f>
        <v>160603.08000000002</v>
      </c>
      <c r="D9" s="366">
        <f>C9*1.02</f>
        <v>163815.14160000003</v>
      </c>
      <c r="E9" s="366">
        <f>D9*1.02</f>
        <v>167091.44443200005</v>
      </c>
      <c r="F9" s="340"/>
    </row>
    <row r="10" spans="1:6" ht="18" customHeight="1">
      <c r="A10" s="1235" t="s">
        <v>666</v>
      </c>
      <c r="B10" s="1236"/>
      <c r="C10" s="1236"/>
      <c r="D10" s="1236"/>
      <c r="E10" s="1236"/>
      <c r="F10" s="340"/>
    </row>
    <row r="11" spans="1:6" ht="15.75">
      <c r="A11" s="155">
        <v>0</v>
      </c>
      <c r="B11" s="155">
        <v>1</v>
      </c>
      <c r="C11" s="155">
        <v>1</v>
      </c>
      <c r="D11" s="155">
        <v>1</v>
      </c>
      <c r="E11" s="155">
        <v>1</v>
      </c>
      <c r="F11" s="340"/>
    </row>
    <row r="12" spans="1:6" ht="20.25" customHeight="1">
      <c r="A12" s="1235" t="s">
        <v>667</v>
      </c>
      <c r="B12" s="1236"/>
      <c r="C12" s="1236"/>
      <c r="D12" s="1236"/>
      <c r="E12" s="1236"/>
      <c r="F12" s="340"/>
    </row>
    <row r="13" spans="1:6" ht="27" customHeight="1">
      <c r="A13" s="722">
        <f>A9*A11</f>
        <v>0</v>
      </c>
      <c r="B13" s="722">
        <f>B9*B11</f>
        <v>157454</v>
      </c>
      <c r="C13" s="722">
        <f>C9*C11</f>
        <v>160603.08000000002</v>
      </c>
      <c r="D13" s="722">
        <f>D9*D11</f>
        <v>163815.14160000003</v>
      </c>
      <c r="E13" s="722">
        <f>E9*E11</f>
        <v>167091.44443200005</v>
      </c>
      <c r="F13" s="340"/>
    </row>
    <row r="14" ht="12.75">
      <c r="F14" s="340"/>
    </row>
    <row r="15" ht="12.75">
      <c r="F15" s="340"/>
    </row>
    <row r="16" ht="12.75">
      <c r="F16" s="340"/>
    </row>
    <row r="17" ht="12.75">
      <c r="F17" s="340"/>
    </row>
    <row r="18" ht="12.75">
      <c r="F18" s="340"/>
    </row>
    <row r="19" ht="12.75">
      <c r="F19" s="340"/>
    </row>
    <row r="20" ht="12.75">
      <c r="F20" s="340"/>
    </row>
    <row r="21" ht="12.75">
      <c r="F21" s="340"/>
    </row>
    <row r="22" ht="12.75">
      <c r="F22" s="340"/>
    </row>
    <row r="23" ht="12.75">
      <c r="F23" s="340"/>
    </row>
    <row r="24" ht="12.75">
      <c r="F24" s="340"/>
    </row>
    <row r="25" ht="12.75">
      <c r="F25" s="340"/>
    </row>
    <row r="26" ht="12.75">
      <c r="F26" s="340"/>
    </row>
    <row r="27" ht="12.75">
      <c r="F27" s="340"/>
    </row>
    <row r="28" ht="12.75">
      <c r="F28" s="340"/>
    </row>
    <row r="29" ht="12.75">
      <c r="F29" s="340"/>
    </row>
    <row r="30" ht="12.75">
      <c r="F30" s="340"/>
    </row>
    <row r="31" ht="12.75">
      <c r="F31" s="340"/>
    </row>
    <row r="32" ht="12.75">
      <c r="F32" s="340"/>
    </row>
    <row r="33" ht="12.75">
      <c r="F33" s="340"/>
    </row>
    <row r="34" ht="12.75">
      <c r="F34" s="340"/>
    </row>
    <row r="35" ht="12.75">
      <c r="F35" s="340"/>
    </row>
    <row r="36" ht="12.75">
      <c r="F36" s="340"/>
    </row>
    <row r="37" spans="1:6" ht="15">
      <c r="A37" s="1234" t="s">
        <v>84</v>
      </c>
      <c r="B37" s="1234"/>
      <c r="C37" s="1234"/>
      <c r="D37" s="1234"/>
      <c r="E37" s="1234"/>
      <c r="F37" s="340"/>
    </row>
    <row r="38" spans="1:6" ht="15">
      <c r="A38" s="1234" t="s">
        <v>85</v>
      </c>
      <c r="B38" s="1234"/>
      <c r="C38" s="1234"/>
      <c r="D38" s="1234"/>
      <c r="E38" s="1234"/>
      <c r="F38" s="340"/>
    </row>
    <row r="39" spans="1:6" ht="60" customHeight="1">
      <c r="A39" s="340"/>
      <c r="B39" s="340"/>
      <c r="C39" s="340"/>
      <c r="D39" s="340"/>
      <c r="E39" s="340"/>
      <c r="F39" s="340"/>
    </row>
    <row r="42" ht="12.75">
      <c r="G42" s="206"/>
    </row>
    <row r="43" ht="12.75">
      <c r="G43" s="206"/>
    </row>
    <row r="44" ht="12.75">
      <c r="G44" s="206"/>
    </row>
    <row r="45" ht="12.75">
      <c r="G45" s="206"/>
    </row>
    <row r="46" ht="12.75">
      <c r="G46" s="206"/>
    </row>
    <row r="47" ht="12.75">
      <c r="G47" s="206"/>
    </row>
    <row r="48" ht="12.75">
      <c r="G48" s="206"/>
    </row>
  </sheetData>
  <sheetProtection/>
  <mergeCells count="9">
    <mergeCell ref="A38:E38"/>
    <mergeCell ref="A10:E10"/>
    <mergeCell ref="A12:E12"/>
    <mergeCell ref="A2:E2"/>
    <mergeCell ref="A3:E3"/>
    <mergeCell ref="A8:E8"/>
    <mergeCell ref="A6:E6"/>
    <mergeCell ref="A4:E4"/>
    <mergeCell ref="A37:E37"/>
  </mergeCells>
  <printOptions horizontalCentered="1" verticalCentered="1"/>
  <pageMargins left="0.31496062992125984" right="0.6299212598425197" top="0.5511811023622047" bottom="0.2755905511811024" header="0.5118110236220472" footer="0.2362204724409449"/>
  <pageSetup horizontalDpi="360" verticalDpi="360" orientation="landscape" paperSize="9" scale="78" r:id="rId2"/>
  <colBreaks count="1" manualBreakCount="1">
    <brk id="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21">
      <selection activeCell="E34" sqref="E34"/>
    </sheetView>
  </sheetViews>
  <sheetFormatPr defaultColWidth="9.00390625" defaultRowHeight="12.75"/>
  <cols>
    <col min="1" max="1" width="8.75390625" style="135" customWidth="1"/>
    <col min="2" max="2" width="18.875" style="270" customWidth="1"/>
    <col min="3" max="3" width="22.375" style="135" customWidth="1"/>
    <col min="4" max="4" width="41.125" style="285" customWidth="1"/>
    <col min="5" max="5" width="30.25390625" style="135" customWidth="1"/>
    <col min="6" max="16384" width="9.125" style="135" customWidth="1"/>
  </cols>
  <sheetData>
    <row r="1" spans="1:5" ht="15.75">
      <c r="A1" s="1240" t="s">
        <v>668</v>
      </c>
      <c r="B1" s="1240"/>
      <c r="C1" s="1240"/>
      <c r="D1" s="1240"/>
      <c r="E1" s="340"/>
    </row>
    <row r="2" spans="1:5" ht="21.75" customHeight="1">
      <c r="A2" s="1240"/>
      <c r="B2" s="1240"/>
      <c r="C2" s="1240"/>
      <c r="D2" s="174" t="s">
        <v>784</v>
      </c>
      <c r="E2" s="340"/>
    </row>
    <row r="3" ht="5.25" customHeight="1">
      <c r="E3" s="340"/>
    </row>
    <row r="4" spans="1:5" s="272" customFormat="1" ht="15" customHeight="1" thickBot="1">
      <c r="A4" s="1243" t="s">
        <v>657</v>
      </c>
      <c r="B4" s="1241" t="s">
        <v>720</v>
      </c>
      <c r="C4" s="1241"/>
      <c r="D4" s="1241"/>
      <c r="E4" s="340"/>
    </row>
    <row r="5" spans="1:5" s="272" customFormat="1" ht="15" customHeight="1" thickBot="1">
      <c r="A5" s="1244"/>
      <c r="B5" s="461" t="s">
        <v>493</v>
      </c>
      <c r="C5" s="286" t="s">
        <v>519</v>
      </c>
      <c r="D5" s="286" t="s">
        <v>651</v>
      </c>
      <c r="E5" s="340"/>
    </row>
    <row r="6" spans="1:5" ht="43.5" customHeight="1">
      <c r="A6" s="273">
        <v>1</v>
      </c>
      <c r="B6" s="274">
        <f>ГРФ!Y15</f>
        <v>38808</v>
      </c>
      <c r="C6" s="275">
        <f>ГРФ!V15</f>
        <v>12006</v>
      </c>
      <c r="D6" s="367" t="s">
        <v>37</v>
      </c>
      <c r="E6" s="340"/>
    </row>
    <row r="7" spans="1:5" ht="43.5" customHeight="1">
      <c r="A7" s="277">
        <f>A6+1</f>
        <v>2</v>
      </c>
      <c r="B7" s="274">
        <f>ГРФ!Y17</f>
        <v>38899</v>
      </c>
      <c r="C7" s="275">
        <f>ГРФ!X17</f>
        <v>188980</v>
      </c>
      <c r="D7" s="367" t="s">
        <v>159</v>
      </c>
      <c r="E7" s="340"/>
    </row>
    <row r="8" spans="1:5" ht="43.5" customHeight="1">
      <c r="A8" s="277">
        <f>A7+1</f>
        <v>3</v>
      </c>
      <c r="B8" s="274">
        <f>ГРФ!Y28</f>
        <v>39022</v>
      </c>
      <c r="C8" s="278">
        <f>ГРФ!X28</f>
        <v>129014</v>
      </c>
      <c r="D8" s="367" t="s">
        <v>160</v>
      </c>
      <c r="E8" s="340"/>
    </row>
    <row r="9" spans="1:5" ht="19.5" customHeight="1">
      <c r="A9" s="279"/>
      <c r="B9" s="280" t="s">
        <v>485</v>
      </c>
      <c r="C9" s="281">
        <f>SUM(C6:C8)</f>
        <v>330000</v>
      </c>
      <c r="E9" s="340"/>
    </row>
    <row r="10" spans="1:5" ht="15">
      <c r="A10" s="276"/>
      <c r="B10" s="276"/>
      <c r="C10" s="276"/>
      <c r="E10" s="340"/>
    </row>
    <row r="11" spans="1:5" ht="15">
      <c r="A11" s="276"/>
      <c r="B11" s="276"/>
      <c r="C11" s="276"/>
      <c r="E11" s="340"/>
    </row>
    <row r="12" spans="1:5" ht="15">
      <c r="A12" s="276"/>
      <c r="B12" s="276"/>
      <c r="C12" s="276"/>
      <c r="E12" s="340"/>
    </row>
    <row r="13" spans="1:5" ht="15">
      <c r="A13" s="276"/>
      <c r="B13" s="276"/>
      <c r="C13" s="276"/>
      <c r="E13" s="340"/>
    </row>
    <row r="14" spans="1:5" ht="15">
      <c r="A14" s="276"/>
      <c r="B14" s="276"/>
      <c r="C14" s="276"/>
      <c r="E14" s="340"/>
    </row>
    <row r="15" spans="1:5" ht="15">
      <c r="A15" s="276"/>
      <c r="B15" s="276"/>
      <c r="C15" s="276"/>
      <c r="E15" s="340"/>
    </row>
    <row r="16" spans="1:5" ht="15">
      <c r="A16" s="276"/>
      <c r="B16" s="276"/>
      <c r="C16" s="276"/>
      <c r="E16" s="340"/>
    </row>
    <row r="17" spans="1:5" ht="15">
      <c r="A17" s="276"/>
      <c r="B17" s="276"/>
      <c r="C17" s="276"/>
      <c r="E17" s="340"/>
    </row>
    <row r="18" spans="1:5" ht="15">
      <c r="A18" s="276"/>
      <c r="B18" s="276"/>
      <c r="C18" s="276"/>
      <c r="E18" s="340"/>
    </row>
    <row r="19" spans="1:5" ht="15">
      <c r="A19" s="276"/>
      <c r="B19" s="276"/>
      <c r="C19" s="276"/>
      <c r="E19" s="340"/>
    </row>
    <row r="20" spans="1:5" ht="15">
      <c r="A20" s="276"/>
      <c r="B20" s="276"/>
      <c r="C20" s="276"/>
      <c r="E20" s="340"/>
    </row>
    <row r="21" spans="1:5" ht="15">
      <c r="A21" s="276"/>
      <c r="B21" s="276"/>
      <c r="C21" s="276"/>
      <c r="E21" s="340"/>
    </row>
    <row r="22" spans="1:5" ht="15">
      <c r="A22" s="276"/>
      <c r="B22" s="276"/>
      <c r="C22" s="276"/>
      <c r="E22" s="340"/>
    </row>
    <row r="23" spans="1:5" ht="15">
      <c r="A23" s="276"/>
      <c r="B23" s="276"/>
      <c r="C23" s="276"/>
      <c r="E23" s="340"/>
    </row>
    <row r="24" spans="1:5" ht="15">
      <c r="A24" s="276"/>
      <c r="B24" s="276"/>
      <c r="C24" s="276"/>
      <c r="E24" s="340"/>
    </row>
    <row r="25" spans="1:5" ht="15" customHeight="1">
      <c r="A25" s="276"/>
      <c r="B25" s="276"/>
      <c r="C25" s="276"/>
      <c r="E25" s="340"/>
    </row>
    <row r="26" spans="1:5" ht="15">
      <c r="A26" s="276"/>
      <c r="B26" s="276"/>
      <c r="C26" s="276"/>
      <c r="E26" s="340"/>
    </row>
    <row r="27" spans="2:5" ht="12.75" customHeight="1">
      <c r="B27" s="135"/>
      <c r="D27" s="135"/>
      <c r="E27" s="340"/>
    </row>
    <row r="28" ht="12.75">
      <c r="E28" s="340"/>
    </row>
    <row r="29" ht="12.75">
      <c r="E29" s="340"/>
    </row>
    <row r="30" ht="12.75">
      <c r="E30" s="340"/>
    </row>
    <row r="31" ht="12.75">
      <c r="E31" s="340"/>
    </row>
    <row r="32" ht="12.75">
      <c r="E32" s="340"/>
    </row>
    <row r="33" ht="12.75">
      <c r="E33" s="340"/>
    </row>
    <row r="34" ht="12.75">
      <c r="E34" s="340"/>
    </row>
    <row r="35" spans="1:5" ht="12.75">
      <c r="A35" s="1242" t="s">
        <v>669</v>
      </c>
      <c r="B35" s="1242"/>
      <c r="C35" s="1242"/>
      <c r="D35" s="1242"/>
      <c r="E35" s="340"/>
    </row>
    <row r="36" spans="1:5" ht="129" customHeight="1">
      <c r="A36" s="340"/>
      <c r="B36" s="340"/>
      <c r="C36" s="340"/>
      <c r="D36" s="340"/>
      <c r="E36" s="340"/>
    </row>
  </sheetData>
  <sheetProtection/>
  <mergeCells count="5">
    <mergeCell ref="A2:C2"/>
    <mergeCell ref="B4:D4"/>
    <mergeCell ref="A35:D35"/>
    <mergeCell ref="A1:D1"/>
    <mergeCell ref="A4:A5"/>
  </mergeCells>
  <printOptions horizontalCentered="1" verticalCentered="1"/>
  <pageMargins left="0.7874015748031497" right="0.2" top="0.61" bottom="0.29" header="0.5118110236220472" footer="0.22"/>
  <pageSetup horizontalDpi="360" verticalDpi="36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SheetLayoutView="100" zoomScalePageLayoutView="0" workbookViewId="0" topLeftCell="A25">
      <selection activeCell="C48" sqref="C48"/>
    </sheetView>
  </sheetViews>
  <sheetFormatPr defaultColWidth="9.00390625" defaultRowHeight="12.75"/>
  <cols>
    <col min="1" max="1" width="12.25390625" style="135" customWidth="1"/>
    <col min="2" max="2" width="19.625" style="270" customWidth="1"/>
    <col min="3" max="3" width="23.125" style="135" customWidth="1"/>
    <col min="4" max="4" width="22.375" style="135" customWidth="1"/>
    <col min="5" max="5" width="14.375" style="135" customWidth="1"/>
    <col min="6" max="6" width="35.875" style="135" customWidth="1"/>
    <col min="7" max="9" width="9.125" style="135" customWidth="1"/>
    <col min="10" max="10" width="24.75390625" style="135" customWidth="1"/>
    <col min="11" max="16384" width="9.125" style="135" customWidth="1"/>
  </cols>
  <sheetData>
    <row r="1" ht="12.75">
      <c r="F1" s="361"/>
    </row>
    <row r="2" spans="1:6" ht="24.75" customHeight="1">
      <c r="A2" s="1240" t="s">
        <v>670</v>
      </c>
      <c r="B2" s="1240"/>
      <c r="C2" s="1240"/>
      <c r="D2" s="1240"/>
      <c r="F2" s="361"/>
    </row>
    <row r="3" spans="1:6" ht="16.5" thickBot="1">
      <c r="A3" s="368"/>
      <c r="B3" s="368"/>
      <c r="E3" s="174" t="s">
        <v>785</v>
      </c>
      <c r="F3" s="361"/>
    </row>
    <row r="4" spans="1:6" ht="19.5" customHeight="1" thickBot="1">
      <c r="A4" s="1245" t="s">
        <v>611</v>
      </c>
      <c r="B4" s="1247" t="s">
        <v>721</v>
      </c>
      <c r="C4" s="1248"/>
      <c r="D4" s="1248"/>
      <c r="F4" s="361"/>
    </row>
    <row r="5" spans="1:6" ht="19.5" customHeight="1" thickBot="1">
      <c r="A5" s="1246"/>
      <c r="B5" s="271" t="s">
        <v>529</v>
      </c>
      <c r="C5" s="286" t="s">
        <v>519</v>
      </c>
      <c r="D5" s="286" t="s">
        <v>382</v>
      </c>
      <c r="F5" s="361"/>
    </row>
    <row r="6" spans="1:6" ht="21" customHeight="1">
      <c r="A6" s="277">
        <v>1</v>
      </c>
      <c r="B6" s="907">
        <v>2006</v>
      </c>
      <c r="C6" s="275">
        <v>0</v>
      </c>
      <c r="D6" s="908" t="s">
        <v>383</v>
      </c>
      <c r="F6" s="361"/>
    </row>
    <row r="7" spans="1:6" ht="21" customHeight="1">
      <c r="A7" s="277">
        <f>A6+1</f>
        <v>2</v>
      </c>
      <c r="B7" s="907">
        <v>2007</v>
      </c>
      <c r="C7" s="275">
        <f>КЕШ!E26</f>
        <v>100000</v>
      </c>
      <c r="D7" s="908" t="s">
        <v>384</v>
      </c>
      <c r="F7" s="361"/>
    </row>
    <row r="8" spans="1:6" ht="21" customHeight="1">
      <c r="A8" s="277">
        <f>A7+1</f>
        <v>3</v>
      </c>
      <c r="B8" s="907">
        <v>2008</v>
      </c>
      <c r="C8" s="275">
        <f>КЕШ!F26</f>
        <v>100000</v>
      </c>
      <c r="D8" s="908" t="s">
        <v>384</v>
      </c>
      <c r="F8" s="361"/>
    </row>
    <row r="9" spans="1:6" ht="21" customHeight="1">
      <c r="A9" s="277">
        <f>A8+1</f>
        <v>4</v>
      </c>
      <c r="B9" s="907">
        <v>2009</v>
      </c>
      <c r="C9" s="275">
        <f>КЕШ!G26</f>
        <v>100000</v>
      </c>
      <c r="D9" s="908" t="s">
        <v>384</v>
      </c>
      <c r="F9" s="361"/>
    </row>
    <row r="10" spans="1:6" ht="21" customHeight="1">
      <c r="A10" s="277">
        <f>A9+1</f>
        <v>5</v>
      </c>
      <c r="B10" s="907">
        <v>2010</v>
      </c>
      <c r="C10" s="275">
        <f>КЕШ!H26</f>
        <v>30000</v>
      </c>
      <c r="D10" s="908" t="s">
        <v>384</v>
      </c>
      <c r="F10" s="361"/>
    </row>
    <row r="11" spans="1:6" ht="21" customHeight="1">
      <c r="A11" s="279"/>
      <c r="B11" s="280" t="s">
        <v>485</v>
      </c>
      <c r="C11" s="282">
        <f>SUM(C6:C10)</f>
        <v>330000</v>
      </c>
      <c r="D11" s="909"/>
      <c r="F11" s="361"/>
    </row>
    <row r="12" spans="1:6" ht="15">
      <c r="A12" s="276"/>
      <c r="B12" s="276"/>
      <c r="C12" s="276"/>
      <c r="F12" s="361"/>
    </row>
    <row r="13" ht="12.75">
      <c r="F13" s="361"/>
    </row>
    <row r="14" ht="5.25" customHeight="1">
      <c r="F14" s="361"/>
    </row>
    <row r="15" spans="2:6" ht="14.25" customHeight="1">
      <c r="B15" s="135"/>
      <c r="F15" s="361"/>
    </row>
    <row r="16" spans="2:6" ht="12.75">
      <c r="B16" s="135"/>
      <c r="F16" s="361"/>
    </row>
    <row r="17" s="272" customFormat="1" ht="12.75">
      <c r="F17" s="361"/>
    </row>
    <row r="18" s="272" customFormat="1" ht="12.75">
      <c r="F18" s="361"/>
    </row>
    <row r="19" spans="2:6" ht="12.75">
      <c r="B19" s="135"/>
      <c r="F19" s="361"/>
    </row>
    <row r="20" spans="2:6" ht="12.75">
      <c r="B20" s="135"/>
      <c r="F20" s="361"/>
    </row>
    <row r="21" spans="2:6" ht="12.75">
      <c r="B21" s="135"/>
      <c r="F21" s="361"/>
    </row>
    <row r="22" spans="2:6" ht="12.75">
      <c r="B22" s="135"/>
      <c r="F22" s="361"/>
    </row>
    <row r="23" spans="2:6" ht="12.75">
      <c r="B23" s="135"/>
      <c r="F23" s="361"/>
    </row>
    <row r="24" spans="2:6" ht="12.75">
      <c r="B24" s="135"/>
      <c r="F24" s="361"/>
    </row>
    <row r="25" spans="2:6" ht="12.75">
      <c r="B25" s="135"/>
      <c r="F25" s="361"/>
    </row>
    <row r="26" spans="2:6" ht="12.75">
      <c r="B26" s="135"/>
      <c r="F26" s="361"/>
    </row>
    <row r="27" spans="2:6" ht="12.75">
      <c r="B27" s="135"/>
      <c r="F27" s="361"/>
    </row>
    <row r="28" spans="2:6" ht="12.75">
      <c r="B28" s="135"/>
      <c r="F28" s="361"/>
    </row>
    <row r="29" spans="2:6" ht="12.75">
      <c r="B29" s="135"/>
      <c r="F29" s="361"/>
    </row>
    <row r="30" spans="1:6" ht="14.25">
      <c r="A30" s="283"/>
      <c r="B30" s="284"/>
      <c r="C30" s="285"/>
      <c r="F30" s="361"/>
    </row>
    <row r="31" ht="12.75">
      <c r="F31" s="361"/>
    </row>
    <row r="32" ht="12.75">
      <c r="F32" s="361"/>
    </row>
    <row r="33" ht="12.75">
      <c r="F33" s="361"/>
    </row>
    <row r="34" ht="12.75">
      <c r="F34" s="361"/>
    </row>
    <row r="35" ht="12.75">
      <c r="F35" s="361"/>
    </row>
    <row r="36" ht="12.75">
      <c r="F36" s="361"/>
    </row>
    <row r="37" ht="12.75">
      <c r="F37" s="361"/>
    </row>
    <row r="38" ht="12.75">
      <c r="F38" s="361"/>
    </row>
    <row r="39" ht="12.75">
      <c r="F39" s="361"/>
    </row>
    <row r="40" ht="12.75">
      <c r="F40" s="361"/>
    </row>
    <row r="41" ht="12.75">
      <c r="F41" s="361"/>
    </row>
    <row r="42" ht="12.75">
      <c r="F42" s="361"/>
    </row>
    <row r="43" ht="12.75">
      <c r="F43" s="361"/>
    </row>
    <row r="44" ht="12.75">
      <c r="F44" s="361"/>
    </row>
    <row r="45" spans="2:6" ht="12.75">
      <c r="B45" s="135"/>
      <c r="F45" s="361"/>
    </row>
    <row r="46" ht="12.75">
      <c r="F46" s="361"/>
    </row>
    <row r="47" spans="1:6" ht="12.75">
      <c r="A47" s="1249" t="s">
        <v>671</v>
      </c>
      <c r="B47" s="1249"/>
      <c r="C47" s="1249"/>
      <c r="D47" s="1249"/>
      <c r="E47" s="1249"/>
      <c r="F47" s="361"/>
    </row>
    <row r="48" spans="1:6" ht="66" customHeight="1">
      <c r="A48" s="361"/>
      <c r="B48" s="361"/>
      <c r="C48" s="361"/>
      <c r="D48" s="361"/>
      <c r="E48" s="361"/>
      <c r="F48" s="361"/>
    </row>
    <row r="49" spans="1:6" ht="12.75">
      <c r="A49" s="361"/>
      <c r="B49" s="361"/>
      <c r="C49" s="361"/>
      <c r="D49" s="361"/>
      <c r="E49" s="361"/>
      <c r="F49" s="361"/>
    </row>
    <row r="50" spans="1:6" ht="12.75">
      <c r="A50" s="361"/>
      <c r="B50" s="361"/>
      <c r="C50" s="361"/>
      <c r="D50" s="361"/>
      <c r="E50" s="361"/>
      <c r="F50" s="361"/>
    </row>
    <row r="51" spans="1:6" ht="12.75">
      <c r="A51" s="361"/>
      <c r="B51" s="361"/>
      <c r="C51" s="361"/>
      <c r="D51" s="361"/>
      <c r="E51" s="361"/>
      <c r="F51" s="361"/>
    </row>
    <row r="52" spans="1:6" ht="12.75">
      <c r="A52" s="361"/>
      <c r="B52" s="361"/>
      <c r="C52" s="361"/>
      <c r="D52" s="361"/>
      <c r="E52" s="361"/>
      <c r="F52" s="361"/>
    </row>
    <row r="53" spans="1:6" ht="12.75">
      <c r="A53" s="361"/>
      <c r="B53" s="361"/>
      <c r="C53" s="361"/>
      <c r="D53" s="361"/>
      <c r="E53" s="361"/>
      <c r="F53" s="361"/>
    </row>
    <row r="54" spans="1:6" ht="12.75">
      <c r="A54" s="361"/>
      <c r="B54" s="361"/>
      <c r="C54" s="361"/>
      <c r="D54" s="361"/>
      <c r="E54" s="361"/>
      <c r="F54" s="361"/>
    </row>
  </sheetData>
  <sheetProtection/>
  <mergeCells count="4">
    <mergeCell ref="A2:D2"/>
    <mergeCell ref="A4:A5"/>
    <mergeCell ref="B4:D4"/>
    <mergeCell ref="A47:E47"/>
  </mergeCells>
  <printOptions horizontalCentered="1" verticalCentered="1"/>
  <pageMargins left="0.7874015748031497" right="0.2" top="0.61" bottom="0.29" header="0.5118110236220472" footer="0.22"/>
  <pageSetup horizontalDpi="360" verticalDpi="360" orientation="portrait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75" zoomScaleNormal="75" zoomScalePageLayoutView="0" workbookViewId="0" topLeftCell="A1">
      <selection activeCell="I1" sqref="I1"/>
    </sheetView>
  </sheetViews>
  <sheetFormatPr defaultColWidth="9.00390625" defaultRowHeight="12.75"/>
  <cols>
    <col min="1" max="1" width="17.00390625" style="83" customWidth="1"/>
    <col min="2" max="2" width="14.75390625" style="83" bestFit="1" customWidth="1"/>
    <col min="3" max="3" width="21.00390625" style="83" customWidth="1"/>
    <col min="4" max="4" width="16.75390625" style="83" bestFit="1" customWidth="1"/>
    <col min="5" max="5" width="14.75390625" style="83" bestFit="1" customWidth="1"/>
    <col min="6" max="6" width="14.875" style="83" bestFit="1" customWidth="1"/>
    <col min="7" max="7" width="10.625" style="156" customWidth="1"/>
    <col min="8" max="8" width="11.625" style="83" bestFit="1" customWidth="1"/>
    <col min="9" max="9" width="19.75390625" style="83" bestFit="1" customWidth="1"/>
    <col min="10" max="10" width="14.25390625" style="83" bestFit="1" customWidth="1"/>
    <col min="11" max="11" width="2.375" style="83" customWidth="1"/>
    <col min="12" max="12" width="13.75390625" style="83" customWidth="1"/>
    <col min="13" max="22" width="12.75390625" style="83" customWidth="1"/>
    <col min="23" max="16384" width="9.125" style="83" customWidth="1"/>
  </cols>
  <sheetData>
    <row r="1" ht="30" customHeight="1">
      <c r="L1" s="340"/>
    </row>
    <row r="2" spans="1:12" ht="58.5" customHeight="1">
      <c r="A2" s="1250" t="s">
        <v>672</v>
      </c>
      <c r="B2" s="1250"/>
      <c r="C2" s="1250"/>
      <c r="D2" s="1250"/>
      <c r="E2" s="1250"/>
      <c r="F2" s="1250"/>
      <c r="G2" s="1250"/>
      <c r="H2" s="1250"/>
      <c r="I2" s="1250"/>
      <c r="J2" s="1250"/>
      <c r="L2" s="340"/>
    </row>
    <row r="3" spans="1:12" ht="123.75" customHeight="1">
      <c r="A3" s="1251" t="s">
        <v>665</v>
      </c>
      <c r="B3" s="1251"/>
      <c r="C3" s="1251"/>
      <c r="D3" s="1251"/>
      <c r="E3" s="1251"/>
      <c r="F3" s="1251"/>
      <c r="G3" s="1251"/>
      <c r="H3" s="1251"/>
      <c r="I3" s="1251"/>
      <c r="J3" s="1251"/>
      <c r="L3" s="340"/>
    </row>
    <row r="4" spans="1:12" ht="18.75" customHeight="1">
      <c r="A4" s="1252" t="s">
        <v>786</v>
      </c>
      <c r="B4" s="1252"/>
      <c r="C4" s="1252"/>
      <c r="D4" s="1252"/>
      <c r="E4" s="1252"/>
      <c r="F4" s="1252"/>
      <c r="G4" s="1252"/>
      <c r="H4" s="1252"/>
      <c r="I4" s="1252"/>
      <c r="J4" s="1252"/>
      <c r="L4" s="340"/>
    </row>
    <row r="5" spans="1:12" ht="18.75" customHeight="1">
      <c r="A5" s="1252" t="s">
        <v>787</v>
      </c>
      <c r="B5" s="1252"/>
      <c r="C5" s="1252"/>
      <c r="D5" s="1252"/>
      <c r="E5" s="1252"/>
      <c r="F5" s="1252"/>
      <c r="G5" s="1252"/>
      <c r="H5" s="1252"/>
      <c r="I5" s="1252"/>
      <c r="J5" s="1252"/>
      <c r="L5" s="340"/>
    </row>
    <row r="6" spans="10:12" ht="18" customHeight="1">
      <c r="J6" s="157" t="s">
        <v>788</v>
      </c>
      <c r="L6" s="340"/>
    </row>
    <row r="7" spans="1:12" ht="18" customHeight="1" thickBot="1">
      <c r="A7" s="1253" t="s">
        <v>730</v>
      </c>
      <c r="B7" s="1253"/>
      <c r="C7" s="1253"/>
      <c r="D7" s="1253"/>
      <c r="E7" s="1253"/>
      <c r="F7" s="1253"/>
      <c r="G7" s="1253"/>
      <c r="H7" s="1253"/>
      <c r="I7" s="1253"/>
      <c r="J7" s="1253"/>
      <c r="L7" s="340"/>
    </row>
    <row r="8" spans="1:15" ht="15" customHeight="1" thickBot="1">
      <c r="A8" s="377" t="s">
        <v>494</v>
      </c>
      <c r="B8" s="201" t="s">
        <v>493</v>
      </c>
      <c r="C8" s="201" t="s">
        <v>478</v>
      </c>
      <c r="D8" s="201" t="s">
        <v>513</v>
      </c>
      <c r="E8" s="1254" t="s">
        <v>512</v>
      </c>
      <c r="F8" s="1255"/>
      <c r="G8" s="1255"/>
      <c r="H8" s="1255"/>
      <c r="I8" s="1255"/>
      <c r="J8" s="1255"/>
      <c r="L8" s="878">
        <v>39082</v>
      </c>
      <c r="M8" s="873" t="s">
        <v>660</v>
      </c>
      <c r="N8" s="874"/>
      <c r="O8" s="874"/>
    </row>
    <row r="9" spans="1:15" ht="15" customHeight="1">
      <c r="A9" s="378" t="s">
        <v>495</v>
      </c>
      <c r="B9" s="202" t="s">
        <v>497</v>
      </c>
      <c r="C9" s="202" t="s">
        <v>498</v>
      </c>
      <c r="D9" s="202" t="s">
        <v>501</v>
      </c>
      <c r="E9" s="1267" t="s">
        <v>504</v>
      </c>
      <c r="F9" s="1268"/>
      <c r="G9" s="201" t="s">
        <v>482</v>
      </c>
      <c r="H9" s="201" t="s">
        <v>506</v>
      </c>
      <c r="I9" s="201" t="s">
        <v>508</v>
      </c>
      <c r="J9" s="522" t="s">
        <v>527</v>
      </c>
      <c r="K9" s="203"/>
      <c r="L9" s="878">
        <v>38808</v>
      </c>
      <c r="M9" s="873" t="s">
        <v>661</v>
      </c>
      <c r="N9" s="874"/>
      <c r="O9" s="874"/>
    </row>
    <row r="10" spans="1:15" ht="15" customHeight="1">
      <c r="A10" s="378" t="s">
        <v>496</v>
      </c>
      <c r="B10" s="202" t="s">
        <v>514</v>
      </c>
      <c r="C10" s="202" t="s">
        <v>499</v>
      </c>
      <c r="D10" s="202" t="s">
        <v>502</v>
      </c>
      <c r="E10" s="1269" t="s">
        <v>502</v>
      </c>
      <c r="F10" s="1270"/>
      <c r="G10" s="202" t="s">
        <v>505</v>
      </c>
      <c r="H10" s="202" t="s">
        <v>507</v>
      </c>
      <c r="I10" s="202" t="s">
        <v>509</v>
      </c>
      <c r="J10" s="523" t="s">
        <v>524</v>
      </c>
      <c r="L10" s="876">
        <f>L8-L9</f>
        <v>274</v>
      </c>
      <c r="M10" s="873" t="s">
        <v>662</v>
      </c>
      <c r="N10" s="874"/>
      <c r="O10" s="874"/>
    </row>
    <row r="11" spans="1:15" ht="15" customHeight="1" thickBot="1">
      <c r="A11" s="379"/>
      <c r="B11" s="204"/>
      <c r="C11" s="205" t="s">
        <v>500</v>
      </c>
      <c r="D11" s="205" t="s">
        <v>503</v>
      </c>
      <c r="E11" s="1271" t="s">
        <v>503</v>
      </c>
      <c r="F11" s="1272"/>
      <c r="G11" s="205"/>
      <c r="H11" s="525">
        <f>ЕФ!E10</f>
        <v>0.24</v>
      </c>
      <c r="I11" s="207" t="s">
        <v>523</v>
      </c>
      <c r="J11" s="524" t="s">
        <v>525</v>
      </c>
      <c r="L11" s="876">
        <f>SUM(G13:G15)</f>
        <v>274</v>
      </c>
      <c r="M11" s="873" t="s">
        <v>663</v>
      </c>
      <c r="N11" s="874"/>
      <c r="O11" s="874"/>
    </row>
    <row r="12" spans="1:15" s="59" customFormat="1" ht="22.5" customHeight="1">
      <c r="A12" s="60"/>
      <c r="B12" s="61">
        <v>38808</v>
      </c>
      <c r="C12" s="526" t="s">
        <v>731</v>
      </c>
      <c r="D12" s="62"/>
      <c r="E12" s="63" t="s">
        <v>510</v>
      </c>
      <c r="F12" s="63" t="s">
        <v>511</v>
      </c>
      <c r="G12" s="64"/>
      <c r="H12" s="65"/>
      <c r="I12" s="62"/>
      <c r="J12" s="66"/>
      <c r="L12" s="877">
        <f>L10-L11</f>
        <v>0</v>
      </c>
      <c r="M12" s="873" t="s">
        <v>664</v>
      </c>
      <c r="N12" s="875"/>
      <c r="O12" s="875"/>
    </row>
    <row r="13" spans="1:12" s="59" customFormat="1" ht="22.5" customHeight="1">
      <c r="A13" s="67">
        <f>ДВГ!C6</f>
        <v>12006</v>
      </c>
      <c r="B13" s="208">
        <f>ДВГ!B6</f>
        <v>38808</v>
      </c>
      <c r="C13" s="209">
        <f>A13</f>
        <v>12006</v>
      </c>
      <c r="D13" s="67">
        <f>C13</f>
        <v>12006</v>
      </c>
      <c r="E13" s="531">
        <f>B13</f>
        <v>38808</v>
      </c>
      <c r="F13" s="531">
        <f>B14</f>
        <v>38899</v>
      </c>
      <c r="G13" s="68">
        <f>F13-E13</f>
        <v>91</v>
      </c>
      <c r="H13" s="69">
        <f>H11</f>
        <v>0.24</v>
      </c>
      <c r="I13" s="527">
        <f>D13*G13*H13/365</f>
        <v>718.3864109589041</v>
      </c>
      <c r="J13" s="82" t="s">
        <v>526</v>
      </c>
      <c r="K13" s="81"/>
      <c r="L13" s="340"/>
    </row>
    <row r="14" spans="1:12" s="59" customFormat="1" ht="22.5" customHeight="1">
      <c r="A14" s="67">
        <f>ДВГ!C7</f>
        <v>188980</v>
      </c>
      <c r="B14" s="208">
        <f>ДВГ!B7</f>
        <v>38899</v>
      </c>
      <c r="C14" s="209">
        <f>A14</f>
        <v>188980</v>
      </c>
      <c r="D14" s="67">
        <f>SUM(C13:C14)</f>
        <v>200986</v>
      </c>
      <c r="E14" s="531">
        <f>B14</f>
        <v>38899</v>
      </c>
      <c r="F14" s="531">
        <f>B15</f>
        <v>39022</v>
      </c>
      <c r="G14" s="68">
        <f>F14-E14</f>
        <v>123</v>
      </c>
      <c r="H14" s="69">
        <f>H11</f>
        <v>0.24</v>
      </c>
      <c r="I14" s="527">
        <f>D14*G14*H14/365</f>
        <v>16255.086904109588</v>
      </c>
      <c r="J14" s="82" t="s">
        <v>526</v>
      </c>
      <c r="K14" s="81"/>
      <c r="L14" s="340"/>
    </row>
    <row r="15" spans="1:12" s="59" customFormat="1" ht="22.5" customHeight="1" thickBot="1">
      <c r="A15" s="371">
        <f>ДВГ!C8</f>
        <v>129014</v>
      </c>
      <c r="B15" s="372">
        <f>ДВГ!B8</f>
        <v>39022</v>
      </c>
      <c r="C15" s="373">
        <f>A15</f>
        <v>129014</v>
      </c>
      <c r="D15" s="371">
        <f>D14+C15</f>
        <v>330000</v>
      </c>
      <c r="E15" s="532">
        <f>B15</f>
        <v>39022</v>
      </c>
      <c r="F15" s="532">
        <v>39082</v>
      </c>
      <c r="G15" s="374">
        <f>F15-E15</f>
        <v>60</v>
      </c>
      <c r="H15" s="375">
        <f>H11</f>
        <v>0.24</v>
      </c>
      <c r="I15" s="872">
        <f>D15*G15*H15/365</f>
        <v>13019.17808219178</v>
      </c>
      <c r="J15" s="376" t="s">
        <v>526</v>
      </c>
      <c r="K15" s="81"/>
      <c r="L15" s="340"/>
    </row>
    <row r="16" spans="1:12" ht="21" customHeight="1">
      <c r="A16" s="1256" t="s">
        <v>658</v>
      </c>
      <c r="B16" s="1258"/>
      <c r="C16" s="370">
        <f>SUM(C13:C15)</f>
        <v>330000</v>
      </c>
      <c r="E16" s="1256" t="s">
        <v>732</v>
      </c>
      <c r="F16" s="1257"/>
      <c r="G16" s="1257"/>
      <c r="H16" s="1258"/>
      <c r="I16" s="370">
        <f>SUM(I13:I15)</f>
        <v>29992.65139726027</v>
      </c>
      <c r="L16" s="340"/>
    </row>
    <row r="17" spans="1:12" ht="21" customHeight="1">
      <c r="A17" s="1265" t="s">
        <v>733</v>
      </c>
      <c r="B17" s="1266"/>
      <c r="C17" s="528">
        <f>0</f>
        <v>0</v>
      </c>
      <c r="E17" s="1259" t="s">
        <v>659</v>
      </c>
      <c r="F17" s="1260"/>
      <c r="G17" s="1260"/>
      <c r="H17" s="1261"/>
      <c r="I17" s="529">
        <f>SUM(I13:I15)</f>
        <v>29992.65139726027</v>
      </c>
      <c r="L17" s="340"/>
    </row>
    <row r="18" spans="1:12" ht="24.75" customHeight="1">
      <c r="A18" s="1262" t="s">
        <v>734</v>
      </c>
      <c r="B18" s="1263"/>
      <c r="C18" s="1263"/>
      <c r="D18" s="1263"/>
      <c r="E18" s="1263"/>
      <c r="F18" s="1263"/>
      <c r="G18" s="1263"/>
      <c r="H18" s="1264"/>
      <c r="I18" s="530">
        <f>C16-C17</f>
        <v>330000</v>
      </c>
      <c r="L18" s="340"/>
    </row>
    <row r="19" spans="1:12" ht="60" customHeight="1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</row>
    <row r="20" ht="12.75">
      <c r="G20" s="83"/>
    </row>
    <row r="21" ht="12.75">
      <c r="G21" s="83"/>
    </row>
    <row r="22" ht="12.75">
      <c r="G22" s="83"/>
    </row>
    <row r="23" ht="12.75">
      <c r="G23" s="83"/>
    </row>
    <row r="24" ht="12.75">
      <c r="G24" s="83"/>
    </row>
  </sheetData>
  <sheetProtection/>
  <mergeCells count="14">
    <mergeCell ref="E16:H16"/>
    <mergeCell ref="E17:H17"/>
    <mergeCell ref="A18:H18"/>
    <mergeCell ref="A17:B17"/>
    <mergeCell ref="A16:B16"/>
    <mergeCell ref="E9:F9"/>
    <mergeCell ref="E10:F10"/>
    <mergeCell ref="E11:F11"/>
    <mergeCell ref="A2:J2"/>
    <mergeCell ref="A3:J3"/>
    <mergeCell ref="A4:J4"/>
    <mergeCell ref="A5:J5"/>
    <mergeCell ref="A7:J7"/>
    <mergeCell ref="E8:J8"/>
  </mergeCells>
  <printOptions/>
  <pageMargins left="0.33" right="0.62" top="1.15" bottom="0.26" header="0.5118110236220472" footer="0.25"/>
  <pageSetup horizontalDpi="360" verticalDpi="360" orientation="landscape" paperSize="9" scale="8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="75" zoomScaleNormal="75" zoomScalePageLayoutView="0" workbookViewId="0" topLeftCell="A1">
      <selection activeCell="K1" sqref="K1"/>
    </sheetView>
  </sheetViews>
  <sheetFormatPr defaultColWidth="9.00390625" defaultRowHeight="12.75"/>
  <cols>
    <col min="1" max="1" width="9.25390625" style="83" bestFit="1" customWidth="1"/>
    <col min="2" max="2" width="6.75390625" style="83" bestFit="1" customWidth="1"/>
    <col min="3" max="3" width="16.75390625" style="83" bestFit="1" customWidth="1"/>
    <col min="4" max="4" width="15.375" style="83" bestFit="1" customWidth="1"/>
    <col min="5" max="5" width="11.75390625" style="83" bestFit="1" customWidth="1"/>
    <col min="6" max="6" width="16.625" style="83" bestFit="1" customWidth="1"/>
    <col min="7" max="7" width="10.625" style="83" customWidth="1"/>
    <col min="8" max="8" width="20.875" style="83" customWidth="1"/>
    <col min="9" max="9" width="16.125" style="83" customWidth="1"/>
    <col min="10" max="13" width="16.875" style="83" customWidth="1"/>
    <col min="14" max="16384" width="9.125" style="83" customWidth="1"/>
  </cols>
  <sheetData>
    <row r="1" spans="1:8" ht="47.25" customHeight="1">
      <c r="A1" s="765" t="s">
        <v>833</v>
      </c>
      <c r="B1" s="766"/>
      <c r="C1" s="766"/>
      <c r="D1" s="766"/>
      <c r="E1" s="766"/>
      <c r="F1" s="766"/>
      <c r="G1" s="766"/>
      <c r="H1" s="340"/>
    </row>
    <row r="2" spans="2:8" ht="18" customHeight="1">
      <c r="B2" s="1273" t="s">
        <v>736</v>
      </c>
      <c r="C2" s="1273"/>
      <c r="D2" s="1273"/>
      <c r="E2" s="1273"/>
      <c r="F2" s="1273"/>
      <c r="G2" s="1273"/>
      <c r="H2" s="340"/>
    </row>
    <row r="3" spans="2:8" ht="15">
      <c r="B3" s="1273"/>
      <c r="C3" s="1273"/>
      <c r="D3" s="1273"/>
      <c r="E3" s="1273"/>
      <c r="F3" s="1273"/>
      <c r="G3" s="1273"/>
      <c r="H3" s="340"/>
    </row>
    <row r="4" spans="2:8" ht="15">
      <c r="B4" s="1273"/>
      <c r="C4" s="1273"/>
      <c r="D4" s="1273"/>
      <c r="E4" s="1273"/>
      <c r="F4" s="1273"/>
      <c r="G4" s="1273"/>
      <c r="H4" s="340"/>
    </row>
    <row r="5" spans="2:8" ht="15">
      <c r="B5" s="1273"/>
      <c r="C5" s="1273"/>
      <c r="D5" s="1273"/>
      <c r="E5" s="1273"/>
      <c r="F5" s="1273"/>
      <c r="G5" s="1273"/>
      <c r="H5" s="340"/>
    </row>
    <row r="6" spans="2:8" ht="15">
      <c r="B6" s="1273"/>
      <c r="C6" s="1273"/>
      <c r="D6" s="1273"/>
      <c r="E6" s="1273"/>
      <c r="F6" s="1273"/>
      <c r="G6" s="1273"/>
      <c r="H6" s="340"/>
    </row>
    <row r="7" spans="2:9" ht="15">
      <c r="B7" s="1273"/>
      <c r="C7" s="1273"/>
      <c r="D7" s="1273"/>
      <c r="E7" s="1273"/>
      <c r="F7" s="1273"/>
      <c r="G7" s="1273"/>
      <c r="H7" s="340"/>
      <c r="I7" s="767" t="s">
        <v>737</v>
      </c>
    </row>
    <row r="8" spans="2:14" ht="15.75">
      <c r="B8" s="1273"/>
      <c r="C8" s="1273"/>
      <c r="D8" s="1273"/>
      <c r="E8" s="1273"/>
      <c r="F8" s="1273"/>
      <c r="G8" s="1273"/>
      <c r="H8" s="479" t="s">
        <v>726</v>
      </c>
      <c r="I8" s="768">
        <f>КЕШ!D26</f>
        <v>0</v>
      </c>
      <c r="J8" s="768">
        <f>КЕШ!E26</f>
        <v>100000</v>
      </c>
      <c r="K8" s="768">
        <f>КЕШ!F26</f>
        <v>100000</v>
      </c>
      <c r="L8" s="768">
        <f>КЕШ!G26</f>
        <v>100000</v>
      </c>
      <c r="M8" s="768">
        <f>КЕШ!H26</f>
        <v>30000</v>
      </c>
      <c r="N8" s="767" t="s">
        <v>51</v>
      </c>
    </row>
    <row r="9" spans="2:14" ht="15.75" customHeight="1" thickBot="1">
      <c r="B9" s="369"/>
      <c r="C9" s="369"/>
      <c r="D9" s="369"/>
      <c r="E9" s="369"/>
      <c r="F9" s="369"/>
      <c r="G9" s="157" t="s">
        <v>789</v>
      </c>
      <c r="H9" s="340"/>
      <c r="I9" s="769">
        <f>I8/4</f>
        <v>0</v>
      </c>
      <c r="J9" s="769">
        <f>J8/4</f>
        <v>25000</v>
      </c>
      <c r="K9" s="769">
        <f>K8/4</f>
        <v>25000</v>
      </c>
      <c r="L9" s="769">
        <f>L8/4</f>
        <v>25000</v>
      </c>
      <c r="M9" s="769">
        <f>M8/4</f>
        <v>7500</v>
      </c>
      <c r="N9" s="767" t="s">
        <v>52</v>
      </c>
    </row>
    <row r="10" spans="1:13" ht="16.5" thickBot="1">
      <c r="A10" s="377"/>
      <c r="B10" s="377" t="s">
        <v>437</v>
      </c>
      <c r="C10" s="201" t="s">
        <v>494</v>
      </c>
      <c r="D10" s="201" t="s">
        <v>478</v>
      </c>
      <c r="E10" s="1286"/>
      <c r="F10" s="1286"/>
      <c r="G10" s="1287"/>
      <c r="H10" s="340"/>
      <c r="I10" s="770" t="s">
        <v>473</v>
      </c>
      <c r="J10" s="770" t="s">
        <v>472</v>
      </c>
      <c r="K10" s="770" t="s">
        <v>470</v>
      </c>
      <c r="L10" s="770" t="s">
        <v>401</v>
      </c>
      <c r="M10" s="770" t="s">
        <v>402</v>
      </c>
    </row>
    <row r="11" spans="1:8" ht="12.75">
      <c r="A11" s="378" t="s">
        <v>529</v>
      </c>
      <c r="B11" s="378" t="s">
        <v>738</v>
      </c>
      <c r="C11" s="202" t="s">
        <v>495</v>
      </c>
      <c r="D11" s="202" t="s">
        <v>739</v>
      </c>
      <c r="E11" s="201" t="s">
        <v>506</v>
      </c>
      <c r="F11" s="522" t="s">
        <v>508</v>
      </c>
      <c r="G11" s="382" t="s">
        <v>740</v>
      </c>
      <c r="H11" s="340"/>
    </row>
    <row r="12" spans="1:9" ht="15" thickBot="1">
      <c r="A12" s="378"/>
      <c r="B12" s="378" t="s">
        <v>741</v>
      </c>
      <c r="C12" s="202" t="s">
        <v>496</v>
      </c>
      <c r="D12" s="202" t="s">
        <v>742</v>
      </c>
      <c r="E12" s="202" t="s">
        <v>507</v>
      </c>
      <c r="F12" s="523" t="s">
        <v>525</v>
      </c>
      <c r="G12" s="383" t="s">
        <v>743</v>
      </c>
      <c r="H12" s="340"/>
      <c r="I12" s="767" t="s">
        <v>53</v>
      </c>
    </row>
    <row r="13" spans="1:13" ht="16.5" thickBot="1">
      <c r="A13" s="378"/>
      <c r="B13" s="378"/>
      <c r="C13" s="202" t="s">
        <v>744</v>
      </c>
      <c r="D13" s="202" t="s">
        <v>745</v>
      </c>
      <c r="E13" s="202"/>
      <c r="F13" s="202" t="s">
        <v>735</v>
      </c>
      <c r="G13" s="383" t="s">
        <v>524</v>
      </c>
      <c r="H13" s="340"/>
      <c r="I13" s="770" t="s">
        <v>473</v>
      </c>
      <c r="J13" s="770" t="s">
        <v>472</v>
      </c>
      <c r="K13" s="770" t="s">
        <v>470</v>
      </c>
      <c r="L13" s="770" t="s">
        <v>401</v>
      </c>
      <c r="M13" s="770" t="s">
        <v>402</v>
      </c>
    </row>
    <row r="14" spans="1:13" ht="16.5" customHeight="1">
      <c r="A14" s="771"/>
      <c r="B14" s="771"/>
      <c r="C14" s="202" t="s">
        <v>746</v>
      </c>
      <c r="D14" s="202"/>
      <c r="E14" s="772">
        <f>ЕФ!E10</f>
        <v>0.24</v>
      </c>
      <c r="F14" s="773" t="s">
        <v>747</v>
      </c>
      <c r="G14" s="383" t="s">
        <v>525</v>
      </c>
      <c r="H14" s="340"/>
      <c r="I14" s="774">
        <f>I19</f>
        <v>29992.65139726027</v>
      </c>
      <c r="J14" s="774">
        <f>I23</f>
        <v>70200</v>
      </c>
      <c r="K14" s="774">
        <f>I27</f>
        <v>46200</v>
      </c>
      <c r="L14" s="774">
        <f>I31</f>
        <v>22200</v>
      </c>
      <c r="M14" s="774">
        <f>I35</f>
        <v>1800</v>
      </c>
    </row>
    <row r="15" spans="1:13" ht="15.75">
      <c r="A15" s="775" t="s">
        <v>748</v>
      </c>
      <c r="B15" s="776" t="s">
        <v>749</v>
      </c>
      <c r="C15" s="776" t="s">
        <v>750</v>
      </c>
      <c r="D15" s="776" t="s">
        <v>751</v>
      </c>
      <c r="E15" s="776" t="s">
        <v>752</v>
      </c>
      <c r="F15" s="777" t="s">
        <v>753</v>
      </c>
      <c r="G15" s="776" t="s">
        <v>754</v>
      </c>
      <c r="H15" s="340"/>
      <c r="I15" s="778"/>
      <c r="J15" s="779"/>
      <c r="K15" s="779"/>
      <c r="L15" s="779"/>
      <c r="M15" s="779"/>
    </row>
    <row r="16" spans="1:13" s="59" customFormat="1" ht="21" customHeight="1">
      <c r="A16" s="780">
        <v>2006</v>
      </c>
      <c r="B16" s="781">
        <v>1</v>
      </c>
      <c r="C16" s="1277">
        <f>'%1'!I18</f>
        <v>330000</v>
      </c>
      <c r="D16" s="1280">
        <f>'%1'!C17</f>
        <v>0</v>
      </c>
      <c r="E16" s="1283">
        <f>E14</f>
        <v>0.24</v>
      </c>
      <c r="F16" s="1277">
        <f>'%1'!I17</f>
        <v>29992.65139726027</v>
      </c>
      <c r="G16" s="1274" t="s">
        <v>526</v>
      </c>
      <c r="H16" s="786" t="s">
        <v>755</v>
      </c>
      <c r="I16" s="787">
        <v>2005</v>
      </c>
      <c r="J16" s="767" t="s">
        <v>756</v>
      </c>
      <c r="K16" s="83"/>
      <c r="L16" s="83"/>
      <c r="M16" s="83"/>
    </row>
    <row r="17" spans="1:13" s="59" customFormat="1" ht="21" customHeight="1">
      <c r="A17" s="788"/>
      <c r="B17" s="781">
        <f aca="true" t="shared" si="0" ref="B17:B35">B16+1</f>
        <v>2</v>
      </c>
      <c r="C17" s="1278"/>
      <c r="D17" s="1281"/>
      <c r="E17" s="1284"/>
      <c r="F17" s="1278"/>
      <c r="G17" s="1275"/>
      <c r="H17" s="786" t="s">
        <v>757</v>
      </c>
      <c r="I17" s="789">
        <v>364</v>
      </c>
      <c r="J17" s="767" t="s">
        <v>758</v>
      </c>
      <c r="K17" s="83"/>
      <c r="L17" s="83"/>
      <c r="M17" s="83"/>
    </row>
    <row r="18" spans="1:13" s="59" customFormat="1" ht="21" customHeight="1">
      <c r="A18" s="790"/>
      <c r="B18" s="781">
        <f t="shared" si="0"/>
        <v>3</v>
      </c>
      <c r="C18" s="1278"/>
      <c r="D18" s="1281"/>
      <c r="E18" s="1284"/>
      <c r="F18" s="1278"/>
      <c r="G18" s="1275"/>
      <c r="H18" s="786" t="s">
        <v>759</v>
      </c>
      <c r="I18" s="792" t="s">
        <v>473</v>
      </c>
      <c r="J18" s="767" t="s">
        <v>760</v>
      </c>
      <c r="K18" s="83"/>
      <c r="L18" s="83"/>
      <c r="M18" s="83"/>
    </row>
    <row r="19" spans="1:13" s="59" customFormat="1" ht="21" customHeight="1" thickBot="1">
      <c r="A19" s="793"/>
      <c r="B19" s="794">
        <f t="shared" si="0"/>
        <v>4</v>
      </c>
      <c r="C19" s="1279"/>
      <c r="D19" s="1282"/>
      <c r="E19" s="1285"/>
      <c r="F19" s="1279"/>
      <c r="G19" s="1276"/>
      <c r="H19" s="786" t="s">
        <v>761</v>
      </c>
      <c r="I19" s="800">
        <f>SUM(F16:F19)</f>
        <v>29992.65139726027</v>
      </c>
      <c r="J19" s="767" t="s">
        <v>762</v>
      </c>
      <c r="K19" s="83"/>
      <c r="L19" s="83"/>
      <c r="M19" s="83"/>
    </row>
    <row r="20" spans="1:13" s="59" customFormat="1" ht="21" customHeight="1" thickTop="1">
      <c r="A20" s="801">
        <v>2007</v>
      </c>
      <c r="B20" s="802">
        <f t="shared" si="0"/>
        <v>5</v>
      </c>
      <c r="C20" s="803">
        <f>C16-D16</f>
        <v>330000</v>
      </c>
      <c r="D20" s="804">
        <f>КЕШ!E26/4</f>
        <v>25000</v>
      </c>
      <c r="E20" s="805">
        <f aca="true" t="shared" si="1" ref="E20:E35">$E$14</f>
        <v>0.24</v>
      </c>
      <c r="F20" s="806">
        <f aca="true" t="shared" si="2" ref="F20:F35">C20*E20/4</f>
        <v>19800</v>
      </c>
      <c r="G20" s="807" t="s">
        <v>725</v>
      </c>
      <c r="H20" s="808" t="s">
        <v>755</v>
      </c>
      <c r="I20" s="809">
        <v>2006</v>
      </c>
      <c r="J20" s="83"/>
      <c r="K20" s="83"/>
      <c r="L20" s="83"/>
      <c r="M20" s="83"/>
    </row>
    <row r="21" spans="1:13" s="59" customFormat="1" ht="21" customHeight="1">
      <c r="A21" s="801"/>
      <c r="B21" s="810">
        <f t="shared" si="0"/>
        <v>6</v>
      </c>
      <c r="C21" s="811">
        <f aca="true" t="shared" si="3" ref="C21:C35">C20-D20</f>
        <v>305000</v>
      </c>
      <c r="D21" s="812">
        <f>D20</f>
        <v>25000</v>
      </c>
      <c r="E21" s="813">
        <f t="shared" si="1"/>
        <v>0.24</v>
      </c>
      <c r="F21" s="814">
        <f t="shared" si="2"/>
        <v>18300</v>
      </c>
      <c r="G21" s="815" t="s">
        <v>725</v>
      </c>
      <c r="H21" s="808" t="s">
        <v>757</v>
      </c>
      <c r="I21" s="816">
        <v>364</v>
      </c>
      <c r="J21" s="83"/>
      <c r="K21" s="83"/>
      <c r="L21" s="83"/>
      <c r="M21" s="83"/>
    </row>
    <row r="22" spans="1:13" s="59" customFormat="1" ht="21" customHeight="1">
      <c r="A22" s="817"/>
      <c r="B22" s="810">
        <f t="shared" si="0"/>
        <v>7</v>
      </c>
      <c r="C22" s="811">
        <f t="shared" si="3"/>
        <v>280000</v>
      </c>
      <c r="D22" s="812">
        <f>D21</f>
        <v>25000</v>
      </c>
      <c r="E22" s="813">
        <f t="shared" si="1"/>
        <v>0.24</v>
      </c>
      <c r="F22" s="814">
        <f t="shared" si="2"/>
        <v>16800</v>
      </c>
      <c r="G22" s="815" t="s">
        <v>725</v>
      </c>
      <c r="H22" s="808" t="s">
        <v>759</v>
      </c>
      <c r="I22" s="818" t="s">
        <v>472</v>
      </c>
      <c r="J22" s="83"/>
      <c r="K22" s="83"/>
      <c r="L22" s="83"/>
      <c r="M22" s="83"/>
    </row>
    <row r="23" spans="1:13" s="59" customFormat="1" ht="21" customHeight="1" thickBot="1">
      <c r="A23" s="819"/>
      <c r="B23" s="820">
        <f t="shared" si="0"/>
        <v>8</v>
      </c>
      <c r="C23" s="821">
        <f t="shared" si="3"/>
        <v>255000</v>
      </c>
      <c r="D23" s="822">
        <f>D22</f>
        <v>25000</v>
      </c>
      <c r="E23" s="823">
        <f t="shared" si="1"/>
        <v>0.24</v>
      </c>
      <c r="F23" s="824">
        <f t="shared" si="2"/>
        <v>15300</v>
      </c>
      <c r="G23" s="825" t="s">
        <v>725</v>
      </c>
      <c r="H23" s="808" t="s">
        <v>761</v>
      </c>
      <c r="I23" s="879">
        <f>SUM(F20:F23)</f>
        <v>70200</v>
      </c>
      <c r="J23" s="767" t="s">
        <v>763</v>
      </c>
      <c r="K23" s="83"/>
      <c r="L23" s="83"/>
      <c r="M23" s="83"/>
    </row>
    <row r="24" spans="1:13" s="59" customFormat="1" ht="21" customHeight="1" thickTop="1">
      <c r="A24" s="788">
        <v>2008</v>
      </c>
      <c r="B24" s="826">
        <f t="shared" si="0"/>
        <v>9</v>
      </c>
      <c r="C24" s="827">
        <f t="shared" si="3"/>
        <v>230000</v>
      </c>
      <c r="D24" s="828">
        <f>КЕШ!F26/4</f>
        <v>25000</v>
      </c>
      <c r="E24" s="829">
        <f t="shared" si="1"/>
        <v>0.24</v>
      </c>
      <c r="F24" s="830">
        <f t="shared" si="2"/>
        <v>13800</v>
      </c>
      <c r="G24" s="831" t="s">
        <v>725</v>
      </c>
      <c r="H24" s="786" t="s">
        <v>755</v>
      </c>
      <c r="I24" s="809">
        <v>2007</v>
      </c>
      <c r="J24" s="83"/>
      <c r="K24" s="83"/>
      <c r="L24" s="83"/>
      <c r="M24" s="83"/>
    </row>
    <row r="25" spans="1:13" s="59" customFormat="1" ht="21" customHeight="1">
      <c r="A25" s="788"/>
      <c r="B25" s="781">
        <f t="shared" si="0"/>
        <v>10</v>
      </c>
      <c r="C25" s="791">
        <f t="shared" si="3"/>
        <v>205000</v>
      </c>
      <c r="D25" s="783">
        <f>D24</f>
        <v>25000</v>
      </c>
      <c r="E25" s="784">
        <f t="shared" si="1"/>
        <v>0.24</v>
      </c>
      <c r="F25" s="782">
        <f t="shared" si="2"/>
        <v>12300</v>
      </c>
      <c r="G25" s="785" t="s">
        <v>725</v>
      </c>
      <c r="H25" s="786" t="s">
        <v>757</v>
      </c>
      <c r="I25" s="816">
        <v>365</v>
      </c>
      <c r="J25" s="83"/>
      <c r="K25" s="83"/>
      <c r="L25" s="83"/>
      <c r="M25" s="83"/>
    </row>
    <row r="26" spans="1:13" s="59" customFormat="1" ht="21" customHeight="1">
      <c r="A26" s="790"/>
      <c r="B26" s="781">
        <f t="shared" si="0"/>
        <v>11</v>
      </c>
      <c r="C26" s="791">
        <f t="shared" si="3"/>
        <v>180000</v>
      </c>
      <c r="D26" s="783">
        <f>D25</f>
        <v>25000</v>
      </c>
      <c r="E26" s="784">
        <f t="shared" si="1"/>
        <v>0.24</v>
      </c>
      <c r="F26" s="782">
        <f t="shared" si="2"/>
        <v>10800</v>
      </c>
      <c r="G26" s="785" t="s">
        <v>725</v>
      </c>
      <c r="H26" s="786" t="s">
        <v>759</v>
      </c>
      <c r="I26" s="818" t="s">
        <v>470</v>
      </c>
      <c r="J26" s="83"/>
      <c r="K26" s="83"/>
      <c r="L26" s="83"/>
      <c r="M26" s="83"/>
    </row>
    <row r="27" spans="1:13" s="59" customFormat="1" ht="21" customHeight="1" thickBot="1">
      <c r="A27" s="793"/>
      <c r="B27" s="794">
        <f t="shared" si="0"/>
        <v>12</v>
      </c>
      <c r="C27" s="795">
        <f t="shared" si="3"/>
        <v>155000</v>
      </c>
      <c r="D27" s="796">
        <f>D26</f>
        <v>25000</v>
      </c>
      <c r="E27" s="797">
        <f t="shared" si="1"/>
        <v>0.24</v>
      </c>
      <c r="F27" s="798">
        <f t="shared" si="2"/>
        <v>9300</v>
      </c>
      <c r="G27" s="799" t="s">
        <v>725</v>
      </c>
      <c r="H27" s="786" t="s">
        <v>761</v>
      </c>
      <c r="I27" s="879">
        <f>SUM(F24:F27)</f>
        <v>46200</v>
      </c>
      <c r="J27" s="83"/>
      <c r="K27" s="83"/>
      <c r="L27" s="83"/>
      <c r="M27" s="83"/>
    </row>
    <row r="28" spans="1:13" s="59" customFormat="1" ht="21" customHeight="1" thickTop="1">
      <c r="A28" s="801">
        <v>2009</v>
      </c>
      <c r="B28" s="802">
        <f t="shared" si="0"/>
        <v>13</v>
      </c>
      <c r="C28" s="803">
        <f t="shared" si="3"/>
        <v>130000</v>
      </c>
      <c r="D28" s="804">
        <f>КЕШ!G26/4</f>
        <v>25000</v>
      </c>
      <c r="E28" s="805">
        <f t="shared" si="1"/>
        <v>0.24</v>
      </c>
      <c r="F28" s="806">
        <f t="shared" si="2"/>
        <v>7800</v>
      </c>
      <c r="G28" s="807" t="s">
        <v>725</v>
      </c>
      <c r="H28" s="808" t="s">
        <v>755</v>
      </c>
      <c r="I28" s="809">
        <v>2008</v>
      </c>
      <c r="J28" s="83"/>
      <c r="K28" s="83"/>
      <c r="L28" s="83"/>
      <c r="M28" s="83"/>
    </row>
    <row r="29" spans="1:13" s="59" customFormat="1" ht="21" customHeight="1">
      <c r="A29" s="801"/>
      <c r="B29" s="810">
        <f t="shared" si="0"/>
        <v>14</v>
      </c>
      <c r="C29" s="811">
        <f t="shared" si="3"/>
        <v>105000</v>
      </c>
      <c r="D29" s="812">
        <f>D28</f>
        <v>25000</v>
      </c>
      <c r="E29" s="813">
        <f t="shared" si="1"/>
        <v>0.24</v>
      </c>
      <c r="F29" s="814">
        <f t="shared" si="2"/>
        <v>6300</v>
      </c>
      <c r="G29" s="815" t="s">
        <v>725</v>
      </c>
      <c r="H29" s="808" t="s">
        <v>757</v>
      </c>
      <c r="I29" s="816">
        <v>364</v>
      </c>
      <c r="J29" s="83"/>
      <c r="K29" s="83"/>
      <c r="L29" s="83"/>
      <c r="M29" s="83"/>
    </row>
    <row r="30" spans="1:13" s="59" customFormat="1" ht="21" customHeight="1">
      <c r="A30" s="817"/>
      <c r="B30" s="810">
        <f t="shared" si="0"/>
        <v>15</v>
      </c>
      <c r="C30" s="811">
        <f t="shared" si="3"/>
        <v>80000</v>
      </c>
      <c r="D30" s="812">
        <f>D29</f>
        <v>25000</v>
      </c>
      <c r="E30" s="813">
        <f t="shared" si="1"/>
        <v>0.24</v>
      </c>
      <c r="F30" s="814">
        <f t="shared" si="2"/>
        <v>4800</v>
      </c>
      <c r="G30" s="815" t="s">
        <v>725</v>
      </c>
      <c r="H30" s="808" t="s">
        <v>759</v>
      </c>
      <c r="I30" s="818" t="s">
        <v>401</v>
      </c>
      <c r="J30" s="83"/>
      <c r="K30" s="83"/>
      <c r="L30" s="83"/>
      <c r="M30" s="83"/>
    </row>
    <row r="31" spans="1:13" s="59" customFormat="1" ht="21" customHeight="1" thickBot="1">
      <c r="A31" s="819"/>
      <c r="B31" s="820">
        <f t="shared" si="0"/>
        <v>16</v>
      </c>
      <c r="C31" s="821">
        <f t="shared" si="3"/>
        <v>55000</v>
      </c>
      <c r="D31" s="822">
        <f>D30</f>
        <v>25000</v>
      </c>
      <c r="E31" s="823">
        <f t="shared" si="1"/>
        <v>0.24</v>
      </c>
      <c r="F31" s="824">
        <f t="shared" si="2"/>
        <v>3300</v>
      </c>
      <c r="G31" s="825" t="s">
        <v>725</v>
      </c>
      <c r="H31" s="808" t="s">
        <v>761</v>
      </c>
      <c r="I31" s="879">
        <f>SUM(F28:F31)</f>
        <v>22200</v>
      </c>
      <c r="J31" s="83"/>
      <c r="K31" s="83"/>
      <c r="L31" s="83"/>
      <c r="M31" s="83"/>
    </row>
    <row r="32" spans="1:13" s="59" customFormat="1" ht="21" customHeight="1" thickTop="1">
      <c r="A32" s="788">
        <v>2010</v>
      </c>
      <c r="B32" s="826">
        <f t="shared" si="0"/>
        <v>17</v>
      </c>
      <c r="C32" s="827">
        <f t="shared" si="3"/>
        <v>30000</v>
      </c>
      <c r="D32" s="828">
        <f>КЕШ!H26</f>
        <v>30000</v>
      </c>
      <c r="E32" s="829">
        <f t="shared" si="1"/>
        <v>0.24</v>
      </c>
      <c r="F32" s="830">
        <f t="shared" si="2"/>
        <v>1800</v>
      </c>
      <c r="G32" s="831" t="s">
        <v>725</v>
      </c>
      <c r="H32" s="786" t="s">
        <v>755</v>
      </c>
      <c r="I32" s="809">
        <v>2009</v>
      </c>
      <c r="J32" s="83"/>
      <c r="K32" s="83"/>
      <c r="L32" s="83"/>
      <c r="M32" s="83"/>
    </row>
    <row r="33" spans="1:13" s="59" customFormat="1" ht="21" customHeight="1">
      <c r="A33" s="788"/>
      <c r="B33" s="781">
        <f t="shared" si="0"/>
        <v>18</v>
      </c>
      <c r="C33" s="791">
        <f t="shared" si="3"/>
        <v>0</v>
      </c>
      <c r="D33" s="783">
        <v>0</v>
      </c>
      <c r="E33" s="784">
        <f t="shared" si="1"/>
        <v>0.24</v>
      </c>
      <c r="F33" s="782">
        <f t="shared" si="2"/>
        <v>0</v>
      </c>
      <c r="G33" s="785" t="s">
        <v>725</v>
      </c>
      <c r="H33" s="786" t="s">
        <v>757</v>
      </c>
      <c r="I33" s="816">
        <v>364</v>
      </c>
      <c r="J33" s="83"/>
      <c r="K33" s="83"/>
      <c r="L33" s="83"/>
      <c r="M33" s="83"/>
    </row>
    <row r="34" spans="1:13" s="59" customFormat="1" ht="21" customHeight="1">
      <c r="A34" s="790"/>
      <c r="B34" s="781">
        <f t="shared" si="0"/>
        <v>19</v>
      </c>
      <c r="C34" s="791">
        <f t="shared" si="3"/>
        <v>0</v>
      </c>
      <c r="D34" s="783">
        <f>D33</f>
        <v>0</v>
      </c>
      <c r="E34" s="784">
        <f t="shared" si="1"/>
        <v>0.24</v>
      </c>
      <c r="F34" s="782">
        <f t="shared" si="2"/>
        <v>0</v>
      </c>
      <c r="G34" s="785" t="s">
        <v>725</v>
      </c>
      <c r="H34" s="786" t="s">
        <v>759</v>
      </c>
      <c r="I34" s="818" t="s">
        <v>402</v>
      </c>
      <c r="J34" s="83"/>
      <c r="K34" s="83"/>
      <c r="L34" s="83"/>
      <c r="M34" s="83"/>
    </row>
    <row r="35" spans="1:13" s="59" customFormat="1" ht="21" customHeight="1" thickBot="1">
      <c r="A35" s="793"/>
      <c r="B35" s="794">
        <f t="shared" si="0"/>
        <v>20</v>
      </c>
      <c r="C35" s="795">
        <f t="shared" si="3"/>
        <v>0</v>
      </c>
      <c r="D35" s="796">
        <f>D34</f>
        <v>0</v>
      </c>
      <c r="E35" s="797">
        <f t="shared" si="1"/>
        <v>0.24</v>
      </c>
      <c r="F35" s="798">
        <f t="shared" si="2"/>
        <v>0</v>
      </c>
      <c r="G35" s="799" t="s">
        <v>725</v>
      </c>
      <c r="H35" s="786" t="s">
        <v>761</v>
      </c>
      <c r="I35" s="879">
        <f>SUM(F32:F35)</f>
        <v>1800</v>
      </c>
      <c r="J35" s="83"/>
      <c r="K35" s="83"/>
      <c r="L35" s="83"/>
      <c r="M35" s="83"/>
    </row>
    <row r="36" spans="1:13" s="59" customFormat="1" ht="14.25" customHeight="1" thickTop="1">
      <c r="A36" s="832"/>
      <c r="B36" s="833"/>
      <c r="C36" s="834"/>
      <c r="D36" s="835"/>
      <c r="E36" s="836"/>
      <c r="F36" s="837"/>
      <c r="G36" s="838"/>
      <c r="H36" s="839"/>
      <c r="I36" s="840"/>
      <c r="J36" s="83"/>
      <c r="K36" s="83"/>
      <c r="L36" s="83"/>
      <c r="M36" s="83"/>
    </row>
    <row r="37" spans="1:13" s="59" customFormat="1" ht="21" customHeight="1">
      <c r="A37" s="841" t="s">
        <v>764</v>
      </c>
      <c r="B37" s="842"/>
      <c r="C37" s="843"/>
      <c r="D37" s="844"/>
      <c r="E37" s="845"/>
      <c r="F37" s="846">
        <f>SUM(F16:F35)</f>
        <v>170392.65139726026</v>
      </c>
      <c r="G37" s="838"/>
      <c r="H37" s="839"/>
      <c r="I37" s="840"/>
      <c r="J37" s="83"/>
      <c r="K37" s="83"/>
      <c r="L37" s="83"/>
      <c r="M37" s="83"/>
    </row>
    <row r="38" spans="1:13" s="59" customFormat="1" ht="21" customHeight="1">
      <c r="A38" s="841" t="s">
        <v>765</v>
      </c>
      <c r="B38" s="842"/>
      <c r="C38" s="843"/>
      <c r="D38" s="844"/>
      <c r="E38" s="845"/>
      <c r="F38" s="782">
        <f>SUM(F16)</f>
        <v>29992.65139726027</v>
      </c>
      <c r="G38" s="838"/>
      <c r="H38" s="839"/>
      <c r="I38" s="840"/>
      <c r="J38" s="83"/>
      <c r="K38" s="83"/>
      <c r="L38" s="83"/>
      <c r="M38" s="83"/>
    </row>
    <row r="39" spans="1:13" s="59" customFormat="1" ht="21" customHeight="1">
      <c r="A39" s="841" t="s">
        <v>766</v>
      </c>
      <c r="B39" s="842"/>
      <c r="C39" s="843"/>
      <c r="D39" s="844"/>
      <c r="E39" s="845"/>
      <c r="F39" s="846">
        <f>SUM(D16:D35)</f>
        <v>330000</v>
      </c>
      <c r="G39" s="838"/>
      <c r="H39" s="839"/>
      <c r="J39" s="83"/>
      <c r="K39" s="83"/>
      <c r="L39" s="83"/>
      <c r="M39" s="83"/>
    </row>
    <row r="40" spans="1:8" ht="60" customHeight="1">
      <c r="A40" s="340"/>
      <c r="B40" s="340"/>
      <c r="C40" s="340"/>
      <c r="D40" s="340"/>
      <c r="E40" s="340"/>
      <c r="F40" s="340"/>
      <c r="G40" s="340"/>
      <c r="H40" s="340"/>
    </row>
    <row r="45" ht="25.5" customHeight="1"/>
  </sheetData>
  <sheetProtection/>
  <mergeCells count="13">
    <mergeCell ref="G16:G19"/>
    <mergeCell ref="C16:C19"/>
    <mergeCell ref="D16:D19"/>
    <mergeCell ref="E16:E19"/>
    <mergeCell ref="F16:F19"/>
    <mergeCell ref="E10:G10"/>
    <mergeCell ref="B8:G8"/>
    <mergeCell ref="B2:G2"/>
    <mergeCell ref="B3:G3"/>
    <mergeCell ref="B4:G4"/>
    <mergeCell ref="B5:G5"/>
    <mergeCell ref="B6:G6"/>
    <mergeCell ref="B7:G7"/>
  </mergeCells>
  <printOptions/>
  <pageMargins left="1.17" right="0.26" top="0.66" bottom="0.26" header="0.5118110236220472" footer="0.25"/>
  <pageSetup horizontalDpi="360" verticalDpi="360" orientation="portrait" paperSize="9" r:id="rId2"/>
  <colBreaks count="1" manualBreakCount="1">
    <brk id="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"/>
  <sheetViews>
    <sheetView showGridLines="0" zoomScale="85" zoomScaleNormal="85" zoomScalePageLayoutView="0" workbookViewId="0" topLeftCell="A1">
      <selection activeCell="H1" sqref="H1"/>
    </sheetView>
  </sheetViews>
  <sheetFormatPr defaultColWidth="14.375" defaultRowHeight="12.75"/>
  <cols>
    <col min="1" max="1" width="55.25390625" style="48" customWidth="1"/>
    <col min="2" max="7" width="16.75390625" style="48" customWidth="1"/>
    <col min="8" max="8" width="19.375" style="48" customWidth="1"/>
    <col min="9" max="9" width="7.375" style="48" customWidth="1"/>
    <col min="10" max="10" width="14.375" style="48" customWidth="1"/>
    <col min="11" max="16384" width="14.375" style="48" customWidth="1"/>
  </cols>
  <sheetData>
    <row r="1" spans="7:8" ht="14.25">
      <c r="G1" s="287"/>
      <c r="H1" s="344"/>
    </row>
    <row r="2" spans="1:8" s="288" customFormat="1" ht="27" customHeight="1">
      <c r="A2" s="1288" t="s">
        <v>790</v>
      </c>
      <c r="B2" s="1288"/>
      <c r="C2" s="1288"/>
      <c r="D2" s="1288"/>
      <c r="E2" s="1288"/>
      <c r="F2" s="1288"/>
      <c r="G2" s="1288"/>
      <c r="H2" s="344"/>
    </row>
    <row r="3" spans="1:8" ht="15" customHeight="1" thickBot="1">
      <c r="A3" s="289"/>
      <c r="B3" s="290"/>
      <c r="C3" s="290"/>
      <c r="D3" s="290"/>
      <c r="E3" s="290"/>
      <c r="F3" s="290"/>
      <c r="G3" s="381" t="s">
        <v>791</v>
      </c>
      <c r="H3" s="344"/>
    </row>
    <row r="4" spans="1:19" s="213" customFormat="1" ht="18" customHeight="1">
      <c r="A4" s="1289" t="s">
        <v>413</v>
      </c>
      <c r="B4" s="215" t="s">
        <v>451</v>
      </c>
      <c r="C4" s="215" t="s">
        <v>452</v>
      </c>
      <c r="D4" s="215" t="s">
        <v>453</v>
      </c>
      <c r="E4" s="215" t="s">
        <v>411</v>
      </c>
      <c r="F4" s="215" t="s">
        <v>412</v>
      </c>
      <c r="G4" s="746" t="s">
        <v>435</v>
      </c>
      <c r="H4" s="344"/>
      <c r="I4" s="1078"/>
      <c r="J4" s="288"/>
      <c r="K4" s="288"/>
      <c r="L4" s="288"/>
      <c r="M4" s="288"/>
      <c r="N4" s="288"/>
      <c r="O4" s="288"/>
      <c r="P4" s="288"/>
      <c r="Q4" s="288"/>
      <c r="R4" s="288"/>
      <c r="S4" s="288"/>
    </row>
    <row r="5" spans="1:19" s="213" customFormat="1" ht="18" customHeight="1" thickBot="1">
      <c r="A5" s="1290"/>
      <c r="B5" s="217" t="s">
        <v>410</v>
      </c>
      <c r="C5" s="217" t="s">
        <v>410</v>
      </c>
      <c r="D5" s="217" t="s">
        <v>410</v>
      </c>
      <c r="E5" s="217" t="s">
        <v>410</v>
      </c>
      <c r="F5" s="217" t="s">
        <v>410</v>
      </c>
      <c r="G5" s="218" t="s">
        <v>39</v>
      </c>
      <c r="H5" s="344"/>
      <c r="I5" s="288"/>
      <c r="J5" s="1079" t="s">
        <v>684</v>
      </c>
      <c r="K5" s="288"/>
      <c r="L5" s="288"/>
      <c r="M5" s="288"/>
      <c r="N5" s="288"/>
      <c r="O5" s="288"/>
      <c r="P5" s="288"/>
      <c r="Q5" s="288"/>
      <c r="R5" s="288"/>
      <c r="S5" s="288"/>
    </row>
    <row r="6" spans="1:19" s="213" customFormat="1" ht="28.5">
      <c r="A6" s="601" t="s">
        <v>70</v>
      </c>
      <c r="B6" s="920">
        <v>0</v>
      </c>
      <c r="C6" s="920">
        <f>ТЕО!C18</f>
        <v>60</v>
      </c>
      <c r="D6" s="920">
        <f>C6*(1+$A$23)</f>
        <v>63</v>
      </c>
      <c r="E6" s="920">
        <f>D6*(1+$A$23)</f>
        <v>66.15</v>
      </c>
      <c r="F6" s="920">
        <f>E6*(1+$A$23)</f>
        <v>69.45750000000001</v>
      </c>
      <c r="G6" s="916"/>
      <c r="H6" s="344"/>
      <c r="I6" s="288"/>
      <c r="J6" s="1082">
        <v>60</v>
      </c>
      <c r="K6" s="288"/>
      <c r="L6" s="288"/>
      <c r="M6" s="288"/>
      <c r="N6" s="288"/>
      <c r="O6" s="288"/>
      <c r="P6" s="288"/>
      <c r="Q6" s="288"/>
      <c r="R6" s="288"/>
      <c r="S6" s="288"/>
    </row>
    <row r="7" spans="1:19" s="213" customFormat="1" ht="15.75">
      <c r="A7" s="601" t="s">
        <v>21</v>
      </c>
      <c r="B7" s="914">
        <v>0</v>
      </c>
      <c r="C7" s="914">
        <f>ТЕО!C19</f>
        <v>2000</v>
      </c>
      <c r="D7" s="914">
        <v>2000</v>
      </c>
      <c r="E7" s="914">
        <v>2000</v>
      </c>
      <c r="F7" s="914">
        <v>2000</v>
      </c>
      <c r="G7" s="914">
        <f>SUM(B7:F7)</f>
        <v>8000</v>
      </c>
      <c r="H7" s="344"/>
      <c r="I7" s="288"/>
      <c r="J7" s="1082">
        <v>2000</v>
      </c>
      <c r="K7" s="288"/>
      <c r="L7" s="288"/>
      <c r="M7" s="288"/>
      <c r="N7" s="288"/>
      <c r="O7" s="288"/>
      <c r="P7" s="288"/>
      <c r="Q7" s="288"/>
      <c r="R7" s="288"/>
      <c r="S7" s="288"/>
    </row>
    <row r="8" spans="1:19" s="213" customFormat="1" ht="28.5">
      <c r="A8" s="601" t="s">
        <v>71</v>
      </c>
      <c r="B8" s="920">
        <v>0</v>
      </c>
      <c r="C8" s="920">
        <f>ТЕО!C20</f>
        <v>50</v>
      </c>
      <c r="D8" s="920">
        <f>C8*(1+$A$23)</f>
        <v>52.5</v>
      </c>
      <c r="E8" s="920">
        <f>D8*(1+$A$23)</f>
        <v>55.125</v>
      </c>
      <c r="F8" s="920">
        <f>E8*(1+$A$23)</f>
        <v>57.88125</v>
      </c>
      <c r="G8" s="916"/>
      <c r="H8" s="344"/>
      <c r="I8" s="288"/>
      <c r="J8" s="1082">
        <v>50</v>
      </c>
      <c r="K8" s="288"/>
      <c r="L8" s="288"/>
      <c r="M8" s="288"/>
      <c r="N8" s="288"/>
      <c r="O8" s="288"/>
      <c r="P8" s="288"/>
      <c r="Q8" s="288"/>
      <c r="R8" s="288"/>
      <c r="S8" s="288"/>
    </row>
    <row r="9" spans="1:11" s="213" customFormat="1" ht="15.75">
      <c r="A9" s="601" t="s">
        <v>22</v>
      </c>
      <c r="B9" s="914">
        <v>0</v>
      </c>
      <c r="C9" s="914">
        <f>ТЕО!C21</f>
        <v>1200</v>
      </c>
      <c r="D9" s="914">
        <v>1200</v>
      </c>
      <c r="E9" s="914">
        <v>1200</v>
      </c>
      <c r="F9" s="914">
        <v>1200</v>
      </c>
      <c r="G9" s="914">
        <f>SUM(B9:F9)</f>
        <v>4800</v>
      </c>
      <c r="H9" s="344"/>
      <c r="I9" s="288"/>
      <c r="J9" s="1083">
        <v>1200</v>
      </c>
      <c r="K9" s="212"/>
    </row>
    <row r="10" spans="1:11" s="213" customFormat="1" ht="28.5">
      <c r="A10" s="601" t="s">
        <v>89</v>
      </c>
      <c r="B10" s="920">
        <v>0</v>
      </c>
      <c r="C10" s="920">
        <f>ТЕО!C22</f>
        <v>5</v>
      </c>
      <c r="D10" s="920">
        <f>C10*(1+$A$23)</f>
        <v>5.25</v>
      </c>
      <c r="E10" s="920">
        <f>D10*(1+$A$23)</f>
        <v>5.5125</v>
      </c>
      <c r="F10" s="920">
        <f>E10*(1+$A$23)</f>
        <v>5.788125000000001</v>
      </c>
      <c r="G10" s="916"/>
      <c r="H10" s="344"/>
      <c r="I10" s="288"/>
      <c r="J10" s="1082">
        <v>5</v>
      </c>
      <c r="K10" s="212"/>
    </row>
    <row r="11" spans="1:11" s="213" customFormat="1" ht="28.5">
      <c r="A11" s="601" t="s">
        <v>56</v>
      </c>
      <c r="B11" s="914">
        <v>0</v>
      </c>
      <c r="C11" s="914">
        <f>ТЕО!C23</f>
        <v>10000</v>
      </c>
      <c r="D11" s="914">
        <v>10000</v>
      </c>
      <c r="E11" s="914">
        <v>10000</v>
      </c>
      <c r="F11" s="914">
        <v>10000</v>
      </c>
      <c r="G11" s="914">
        <f>SUM(B11:F11)</f>
        <v>40000</v>
      </c>
      <c r="H11" s="344"/>
      <c r="I11" s="288"/>
      <c r="J11" s="1083">
        <v>10000</v>
      </c>
      <c r="K11" s="212"/>
    </row>
    <row r="12" spans="1:11" s="213" customFormat="1" ht="28.5">
      <c r="A12" s="601" t="s">
        <v>57</v>
      </c>
      <c r="B12" s="920">
        <v>0</v>
      </c>
      <c r="C12" s="920">
        <f>ТЕО!C24</f>
        <v>30</v>
      </c>
      <c r="D12" s="920">
        <f>C12*(1+$A$23)</f>
        <v>31.5</v>
      </c>
      <c r="E12" s="920">
        <f>D12*(1+$A$23)</f>
        <v>33.075</v>
      </c>
      <c r="F12" s="920">
        <f>E12*(1+$A$23)</f>
        <v>34.728750000000005</v>
      </c>
      <c r="G12" s="916"/>
      <c r="H12" s="344"/>
      <c r="I12" s="288"/>
      <c r="J12" s="1082">
        <v>30</v>
      </c>
      <c r="K12" s="212"/>
    </row>
    <row r="13" spans="1:11" s="213" customFormat="1" ht="28.5">
      <c r="A13" s="601" t="s">
        <v>24</v>
      </c>
      <c r="B13" s="914">
        <v>0</v>
      </c>
      <c r="C13" s="914">
        <f>ТЕО!C25</f>
        <v>10000</v>
      </c>
      <c r="D13" s="914">
        <v>10000</v>
      </c>
      <c r="E13" s="914">
        <v>10000</v>
      </c>
      <c r="F13" s="914">
        <v>10000</v>
      </c>
      <c r="G13" s="914">
        <f>SUM(B13:F13)</f>
        <v>40000</v>
      </c>
      <c r="H13" s="344"/>
      <c r="I13" s="288"/>
      <c r="J13" s="1083">
        <v>10000</v>
      </c>
      <c r="K13" s="212"/>
    </row>
    <row r="14" spans="1:11" s="213" customFormat="1" ht="28.5">
      <c r="A14" s="601" t="s">
        <v>116</v>
      </c>
      <c r="B14" s="920">
        <v>0</v>
      </c>
      <c r="C14" s="920">
        <f>ТЕО!C26</f>
        <v>5</v>
      </c>
      <c r="D14" s="920">
        <f>C14*(1+$A$23)</f>
        <v>5.25</v>
      </c>
      <c r="E14" s="920">
        <f>D14*(1+$A$23)</f>
        <v>5.5125</v>
      </c>
      <c r="F14" s="920">
        <f>E14*(1+$A$23)</f>
        <v>5.788125000000001</v>
      </c>
      <c r="G14" s="916"/>
      <c r="H14" s="344"/>
      <c r="I14" s="288"/>
      <c r="J14" s="1082">
        <v>5</v>
      </c>
      <c r="K14" s="212"/>
    </row>
    <row r="15" spans="1:11" s="213" customFormat="1" ht="28.5">
      <c r="A15" s="601" t="s">
        <v>23</v>
      </c>
      <c r="B15" s="914">
        <v>0</v>
      </c>
      <c r="C15" s="914">
        <f>ТЕО!C27</f>
        <v>700</v>
      </c>
      <c r="D15" s="914">
        <v>700</v>
      </c>
      <c r="E15" s="914">
        <v>700</v>
      </c>
      <c r="F15" s="914">
        <v>700</v>
      </c>
      <c r="G15" s="914">
        <f>SUM(B15:F15)</f>
        <v>2800</v>
      </c>
      <c r="H15" s="344"/>
      <c r="I15" s="288"/>
      <c r="J15" s="1083">
        <v>700</v>
      </c>
      <c r="K15" s="212"/>
    </row>
    <row r="16" spans="1:11" s="213" customFormat="1" ht="15.75">
      <c r="A16" s="601" t="s">
        <v>66</v>
      </c>
      <c r="B16" s="920">
        <v>0</v>
      </c>
      <c r="C16" s="920">
        <f>ТЕО!C28</f>
        <v>0.2</v>
      </c>
      <c r="D16" s="920">
        <f>C16*(1+$A$23)</f>
        <v>0.21000000000000002</v>
      </c>
      <c r="E16" s="920">
        <f>D16*(1+$A$23)</f>
        <v>0.22050000000000003</v>
      </c>
      <c r="F16" s="920">
        <f>E16*(1+$A$23)</f>
        <v>0.23152500000000004</v>
      </c>
      <c r="G16" s="916"/>
      <c r="H16" s="344"/>
      <c r="I16" s="288"/>
      <c r="J16" s="1082">
        <v>0.2</v>
      </c>
      <c r="K16" s="212"/>
    </row>
    <row r="17" spans="1:11" s="213" customFormat="1" ht="15.75">
      <c r="A17" s="601" t="s">
        <v>67</v>
      </c>
      <c r="B17" s="914">
        <v>0</v>
      </c>
      <c r="C17" s="914">
        <f>ТЕО!C29</f>
        <v>100000</v>
      </c>
      <c r="D17" s="914">
        <v>100000</v>
      </c>
      <c r="E17" s="914">
        <v>100000</v>
      </c>
      <c r="F17" s="914">
        <v>100000</v>
      </c>
      <c r="G17" s="914">
        <f aca="true" t="shared" si="0" ref="G17:G22">SUM(B17:F17)</f>
        <v>400000</v>
      </c>
      <c r="H17" s="344"/>
      <c r="I17" s="288"/>
      <c r="J17" s="1083">
        <v>100000</v>
      </c>
      <c r="K17" s="212"/>
    </row>
    <row r="18" spans="1:32" s="49" customFormat="1" ht="28.5">
      <c r="A18" s="601" t="s">
        <v>92</v>
      </c>
      <c r="B18" s="914">
        <v>0</v>
      </c>
      <c r="C18" s="914">
        <f>ТЕО!C32</f>
        <v>260796</v>
      </c>
      <c r="D18" s="914">
        <f aca="true" t="shared" si="1" ref="D18:F19">C18*(1+$A$23)</f>
        <v>273835.8</v>
      </c>
      <c r="E18" s="914">
        <f t="shared" si="1"/>
        <v>287527.59</v>
      </c>
      <c r="F18" s="914">
        <f t="shared" si="1"/>
        <v>301903.96950000006</v>
      </c>
      <c r="G18" s="914">
        <f>SUM(B18:F18)</f>
        <v>1124063.3595000003</v>
      </c>
      <c r="H18" s="344"/>
      <c r="I18" s="288"/>
      <c r="J18" s="1083">
        <v>260796</v>
      </c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</row>
    <row r="19" spans="1:32" s="49" customFormat="1" ht="36.75" customHeight="1">
      <c r="A19" s="414" t="s">
        <v>40</v>
      </c>
      <c r="B19" s="415">
        <v>0</v>
      </c>
      <c r="C19" s="415">
        <f>ТЕО!C32</f>
        <v>260796</v>
      </c>
      <c r="D19" s="415">
        <f t="shared" si="1"/>
        <v>273835.8</v>
      </c>
      <c r="E19" s="415">
        <f t="shared" si="1"/>
        <v>287527.59</v>
      </c>
      <c r="F19" s="415">
        <f t="shared" si="1"/>
        <v>301903.96950000006</v>
      </c>
      <c r="G19" s="925">
        <f t="shared" si="0"/>
        <v>1124063.3595000003</v>
      </c>
      <c r="H19" s="344"/>
      <c r="I19" s="288"/>
      <c r="J19" s="1084">
        <v>260796</v>
      </c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</row>
    <row r="20" spans="1:32" s="49" customFormat="1" ht="35.25" customHeight="1">
      <c r="A20" s="747" t="s">
        <v>41</v>
      </c>
      <c r="B20" s="749">
        <f>B6*B7+B8*B9+B10*B11+B12*B13+B14*B15+B16*B17+B19</f>
        <v>0</v>
      </c>
      <c r="C20" s="749">
        <f>C6*C7+C8*C9+C10*C11+C12*C13+C14*C15+C16*C17+C19</f>
        <v>814296</v>
      </c>
      <c r="D20" s="749">
        <f>D6*D7+D8*D9+D10*D11+D12*D13+D14*D15+D16*D17+D19</f>
        <v>855010.8</v>
      </c>
      <c r="E20" s="749">
        <f>E6*E7+E8*E9+E10*E11+E12*E13+E14*E15+E16*E17+E19</f>
        <v>897761.3400000001</v>
      </c>
      <c r="F20" s="749">
        <f>F6*F7+F8*F9+F10*F11+F12*F13+F14*F15+F16*F17+F19</f>
        <v>942649.4070000001</v>
      </c>
      <c r="G20" s="480">
        <f>SUM(B20:F20)</f>
        <v>3509717.5470000003</v>
      </c>
      <c r="H20" s="344"/>
      <c r="I20" s="288"/>
      <c r="J20" s="1085">
        <v>814296</v>
      </c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</row>
    <row r="21" spans="1:32" ht="24" customHeight="1">
      <c r="A21" s="421" t="s">
        <v>712</v>
      </c>
      <c r="B21" s="415">
        <v>0</v>
      </c>
      <c r="C21" s="415">
        <f>C20/6</f>
        <v>135716</v>
      </c>
      <c r="D21" s="415">
        <f>D20/6</f>
        <v>142501.80000000002</v>
      </c>
      <c r="E21" s="415">
        <f>E20/6</f>
        <v>149626.89</v>
      </c>
      <c r="F21" s="415">
        <f>F20/6</f>
        <v>157108.23450000002</v>
      </c>
      <c r="G21" s="925">
        <f>SUM(B21:F21)</f>
        <v>584952.9245000001</v>
      </c>
      <c r="H21" s="364"/>
      <c r="I21" s="288"/>
      <c r="J21" s="1084">
        <v>135716</v>
      </c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</row>
    <row r="22" spans="1:32" ht="24" customHeight="1">
      <c r="A22" s="418" t="s">
        <v>704</v>
      </c>
      <c r="B22" s="924">
        <v>0</v>
      </c>
      <c r="C22" s="924">
        <f>C20-C21</f>
        <v>678580</v>
      </c>
      <c r="D22" s="924">
        <f>D20-D21</f>
        <v>712509</v>
      </c>
      <c r="E22" s="924">
        <f>E20-E21</f>
        <v>748134.4500000001</v>
      </c>
      <c r="F22" s="924">
        <f>F20-F21</f>
        <v>785541.1725000001</v>
      </c>
      <c r="G22" s="926">
        <f t="shared" si="0"/>
        <v>2924764.6225000005</v>
      </c>
      <c r="H22" s="364"/>
      <c r="I22" s="288"/>
      <c r="J22" s="1086">
        <v>678580</v>
      </c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</row>
    <row r="23" spans="1:32" ht="24" customHeight="1">
      <c r="A23" s="419">
        <v>0.05</v>
      </c>
      <c r="B23" s="420" t="s">
        <v>42</v>
      </c>
      <c r="C23" s="417"/>
      <c r="D23" s="417"/>
      <c r="E23" s="417"/>
      <c r="F23" s="417"/>
      <c r="G23" s="417"/>
      <c r="H23" s="364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</row>
    <row r="24" spans="1:32" ht="24" customHeight="1">
      <c r="A24" s="419"/>
      <c r="B24" s="420"/>
      <c r="C24" s="417"/>
      <c r="D24" s="417"/>
      <c r="E24" s="417"/>
      <c r="F24" s="417"/>
      <c r="G24" s="417"/>
      <c r="H24" s="364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</row>
    <row r="25" spans="1:8" ht="111" customHeight="1">
      <c r="A25" s="364"/>
      <c r="B25" s="364"/>
      <c r="C25" s="364"/>
      <c r="D25" s="364"/>
      <c r="E25" s="364"/>
      <c r="F25" s="364"/>
      <c r="G25" s="364"/>
      <c r="H25" s="364"/>
    </row>
  </sheetData>
  <sheetProtection/>
  <mergeCells count="2">
    <mergeCell ref="A2:G2"/>
    <mergeCell ref="A4:A5"/>
  </mergeCells>
  <printOptions horizontalCentered="1"/>
  <pageMargins left="0.16" right="0.63" top="1.17" bottom="0.19" header="0.5118110236220472" footer="0.19"/>
  <pageSetup horizontalDpi="600" verticalDpi="600" orientation="landscape" paperSize="9" scale="85" r:id="rId2"/>
  <rowBreaks count="1" manualBreakCount="1">
    <brk id="23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showGridLines="0" zoomScale="75" zoomScaleNormal="75" zoomScalePageLayoutView="0" workbookViewId="0" topLeftCell="A1">
      <selection activeCell="I14" sqref="I14"/>
    </sheetView>
  </sheetViews>
  <sheetFormatPr defaultColWidth="14.375" defaultRowHeight="12.75"/>
  <cols>
    <col min="1" max="1" width="56.25390625" style="48" customWidth="1"/>
    <col min="2" max="2" width="11.625" style="48" customWidth="1"/>
    <col min="3" max="7" width="15.75390625" style="48" customWidth="1"/>
    <col min="8" max="8" width="25.625" style="48" customWidth="1"/>
    <col min="9" max="9" width="10.75390625" style="48" customWidth="1"/>
    <col min="10" max="16384" width="14.375" style="48" customWidth="1"/>
  </cols>
  <sheetData>
    <row r="1" spans="1:8" s="288" customFormat="1" ht="37.5" customHeight="1">
      <c r="A1" s="1288" t="s">
        <v>792</v>
      </c>
      <c r="B1" s="1288"/>
      <c r="C1" s="1288"/>
      <c r="D1" s="1288"/>
      <c r="E1" s="1288"/>
      <c r="F1" s="1288"/>
      <c r="G1" s="1288"/>
      <c r="H1" s="364"/>
    </row>
    <row r="2" spans="1:32" ht="15" customHeight="1" thickBot="1">
      <c r="A2" s="417"/>
      <c r="B2" s="417"/>
      <c r="C2" s="417"/>
      <c r="D2" s="417"/>
      <c r="E2" s="417"/>
      <c r="F2" s="417"/>
      <c r="G2" s="381" t="s">
        <v>793</v>
      </c>
      <c r="H2" s="364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11" s="213" customFormat="1" ht="18" customHeight="1">
      <c r="A3" s="1289" t="s">
        <v>413</v>
      </c>
      <c r="B3" s="215" t="s">
        <v>451</v>
      </c>
      <c r="C3" s="215" t="s">
        <v>452</v>
      </c>
      <c r="D3" s="215" t="s">
        <v>453</v>
      </c>
      <c r="E3" s="215" t="s">
        <v>411</v>
      </c>
      <c r="F3" s="215" t="s">
        <v>412</v>
      </c>
      <c r="G3" s="746" t="s">
        <v>435</v>
      </c>
      <c r="H3" s="344"/>
      <c r="I3" s="288"/>
      <c r="K3" s="212"/>
    </row>
    <row r="4" spans="1:11" s="213" customFormat="1" ht="18" customHeight="1" thickBot="1">
      <c r="A4" s="1290"/>
      <c r="B4" s="217" t="s">
        <v>410</v>
      </c>
      <c r="C4" s="217" t="s">
        <v>410</v>
      </c>
      <c r="D4" s="217" t="s">
        <v>410</v>
      </c>
      <c r="E4" s="217" t="s">
        <v>410</v>
      </c>
      <c r="F4" s="217" t="s">
        <v>410</v>
      </c>
      <c r="G4" s="218" t="s">
        <v>39</v>
      </c>
      <c r="H4" s="344"/>
      <c r="I4" s="288"/>
      <c r="K4" s="212"/>
    </row>
    <row r="5" spans="1:11" s="213" customFormat="1" ht="18" customHeight="1">
      <c r="A5" s="1291" t="s">
        <v>98</v>
      </c>
      <c r="B5" s="1292"/>
      <c r="C5" s="1292"/>
      <c r="D5" s="1292"/>
      <c r="E5" s="1292"/>
      <c r="F5" s="1292"/>
      <c r="G5" s="380"/>
      <c r="H5" s="344"/>
      <c r="I5" s="288"/>
      <c r="K5" s="212"/>
    </row>
    <row r="6" spans="1:32" s="49" customFormat="1" ht="38.25" customHeight="1">
      <c r="A6" s="414" t="s">
        <v>96</v>
      </c>
      <c r="B6" s="415">
        <v>0</v>
      </c>
      <c r="C6" s="415">
        <f>ТЕО!C39</f>
        <v>129014</v>
      </c>
      <c r="D6" s="415">
        <f aca="true" t="shared" si="0" ref="D6:F8">C6*(1+$A$22)</f>
        <v>131594.28</v>
      </c>
      <c r="E6" s="415">
        <f t="shared" si="0"/>
        <v>134226.1656</v>
      </c>
      <c r="F6" s="415">
        <f t="shared" si="0"/>
        <v>136910.688912</v>
      </c>
      <c r="G6" s="416">
        <f aca="true" t="shared" si="1" ref="G6:G11">SUM(B6:F6)</f>
        <v>531745.134512</v>
      </c>
      <c r="H6" s="344"/>
      <c r="I6" s="288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</row>
    <row r="7" spans="1:32" s="49" customFormat="1" ht="38.25" customHeight="1">
      <c r="A7" s="414" t="s">
        <v>97</v>
      </c>
      <c r="B7" s="415">
        <v>0</v>
      </c>
      <c r="C7" s="415">
        <f>ТЕО!C40</f>
        <v>28440</v>
      </c>
      <c r="D7" s="415">
        <f t="shared" si="0"/>
        <v>29008.8</v>
      </c>
      <c r="E7" s="415">
        <f t="shared" si="0"/>
        <v>29588.976</v>
      </c>
      <c r="F7" s="415">
        <f t="shared" si="0"/>
        <v>30180.75552</v>
      </c>
      <c r="G7" s="416">
        <f t="shared" si="1"/>
        <v>117218.53151999999</v>
      </c>
      <c r="H7" s="344"/>
      <c r="I7" s="288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</row>
    <row r="8" spans="1:32" s="49" customFormat="1" ht="38.25" customHeight="1">
      <c r="A8" s="752" t="s">
        <v>100</v>
      </c>
      <c r="B8" s="753">
        <v>0</v>
      </c>
      <c r="C8" s="753">
        <f>ТЕО!C41</f>
        <v>18000</v>
      </c>
      <c r="D8" s="753">
        <f t="shared" si="0"/>
        <v>18360</v>
      </c>
      <c r="E8" s="753">
        <f t="shared" si="0"/>
        <v>18727.2</v>
      </c>
      <c r="F8" s="753">
        <f t="shared" si="0"/>
        <v>19101.744000000002</v>
      </c>
      <c r="G8" s="751">
        <f t="shared" si="1"/>
        <v>74188.944</v>
      </c>
      <c r="H8" s="344"/>
      <c r="I8" s="288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</row>
    <row r="9" spans="1:32" s="49" customFormat="1" ht="24" customHeight="1">
      <c r="A9" s="929" t="s">
        <v>102</v>
      </c>
      <c r="B9" s="930">
        <f>SUM(B6:B8)</f>
        <v>0</v>
      </c>
      <c r="C9" s="930">
        <f>SUM(C6:C8)</f>
        <v>175454</v>
      </c>
      <c r="D9" s="930">
        <f>SUM(D6:D8)</f>
        <v>178963.08</v>
      </c>
      <c r="E9" s="930">
        <f>SUM(E6:E8)</f>
        <v>182542.3416</v>
      </c>
      <c r="F9" s="930">
        <f>SUM(F6:F8)</f>
        <v>186193.18843200002</v>
      </c>
      <c r="G9" s="480">
        <f t="shared" si="1"/>
        <v>723152.610032</v>
      </c>
      <c r="H9" s="344"/>
      <c r="I9" s="288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</row>
    <row r="10" spans="1:32" s="49" customFormat="1" ht="20.25" customHeight="1">
      <c r="A10" s="933" t="s">
        <v>103</v>
      </c>
      <c r="B10" s="936">
        <f>(B6+B7)/6</f>
        <v>0</v>
      </c>
      <c r="C10" s="936">
        <f>SUM(C6:C8)/6</f>
        <v>29242.333333333332</v>
      </c>
      <c r="D10" s="936">
        <f>SUM(D6:D8)/6</f>
        <v>29827.179999999997</v>
      </c>
      <c r="E10" s="936">
        <f>SUM(E6:E8)/6</f>
        <v>30423.7236</v>
      </c>
      <c r="F10" s="936">
        <f>SUM(F6:F8)/6</f>
        <v>31032.198072000003</v>
      </c>
      <c r="G10" s="937">
        <f t="shared" si="1"/>
        <v>120525.43500533333</v>
      </c>
      <c r="H10" s="344"/>
      <c r="I10" s="288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</row>
    <row r="11" spans="1:32" s="49" customFormat="1" ht="27.75" customHeight="1">
      <c r="A11" s="929" t="s">
        <v>105</v>
      </c>
      <c r="B11" s="930">
        <f>B9-B10</f>
        <v>0</v>
      </c>
      <c r="C11" s="930">
        <f>C9-C10</f>
        <v>146211.66666666666</v>
      </c>
      <c r="D11" s="930">
        <f>D9-D10</f>
        <v>149135.9</v>
      </c>
      <c r="E11" s="930">
        <f>E9-E10</f>
        <v>152118.61800000002</v>
      </c>
      <c r="F11" s="930">
        <f>F9-F10</f>
        <v>155160.99036000003</v>
      </c>
      <c r="G11" s="480">
        <f t="shared" si="1"/>
        <v>602627.1750266667</v>
      </c>
      <c r="H11" s="344"/>
      <c r="I11" s="288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</row>
    <row r="12" spans="1:32" s="49" customFormat="1" ht="15" customHeight="1">
      <c r="A12" s="927"/>
      <c r="B12" s="928"/>
      <c r="C12" s="928"/>
      <c r="D12" s="928"/>
      <c r="E12" s="928"/>
      <c r="F12" s="928"/>
      <c r="G12" s="928"/>
      <c r="H12" s="344"/>
      <c r="I12" s="288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</row>
    <row r="13" spans="1:32" s="49" customFormat="1" ht="19.5" customHeight="1">
      <c r="A13" s="1291" t="s">
        <v>99</v>
      </c>
      <c r="B13" s="1292"/>
      <c r="C13" s="1292"/>
      <c r="D13" s="1292"/>
      <c r="E13" s="1292"/>
      <c r="F13" s="1292"/>
      <c r="G13" s="380"/>
      <c r="H13" s="344"/>
      <c r="I13" s="288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</row>
    <row r="14" spans="1:32" ht="26.25" customHeight="1">
      <c r="A14" s="763" t="s">
        <v>104</v>
      </c>
      <c r="B14" s="753">
        <v>0</v>
      </c>
      <c r="C14" s="753">
        <f>ТЕО!C43</f>
        <v>224376</v>
      </c>
      <c r="D14" s="753">
        <f aca="true" t="shared" si="2" ref="D14:F15">C14*(1+$A$22)</f>
        <v>228863.52</v>
      </c>
      <c r="E14" s="753">
        <f t="shared" si="2"/>
        <v>233440.7904</v>
      </c>
      <c r="F14" s="753">
        <f t="shared" si="2"/>
        <v>238109.606208</v>
      </c>
      <c r="G14" s="751">
        <f>SUM(B14:F14)</f>
        <v>924789.916608</v>
      </c>
      <c r="H14" s="364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</row>
    <row r="15" spans="1:32" ht="36" customHeight="1">
      <c r="A15" s="934" t="s">
        <v>101</v>
      </c>
      <c r="B15" s="935">
        <v>0</v>
      </c>
      <c r="C15" s="935">
        <f>ТЕО!C42</f>
        <v>6000</v>
      </c>
      <c r="D15" s="935">
        <f t="shared" si="2"/>
        <v>6120</v>
      </c>
      <c r="E15" s="935">
        <f t="shared" si="2"/>
        <v>6242.400000000001</v>
      </c>
      <c r="F15" s="935">
        <f t="shared" si="2"/>
        <v>6367.2480000000005</v>
      </c>
      <c r="G15" s="751">
        <f>SUM(B15:F15)</f>
        <v>24729.648</v>
      </c>
      <c r="H15" s="364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</row>
    <row r="16" spans="1:32" ht="24" customHeight="1">
      <c r="A16" s="929" t="s">
        <v>107</v>
      </c>
      <c r="B16" s="930">
        <f>SUM(B14:B15)</f>
        <v>0</v>
      </c>
      <c r="C16" s="930">
        <f>SUM(C14:C15)</f>
        <v>230376</v>
      </c>
      <c r="D16" s="930">
        <f>SUM(D14:D15)</f>
        <v>234983.52</v>
      </c>
      <c r="E16" s="930">
        <f>SUM(E14:E15)</f>
        <v>239683.1904</v>
      </c>
      <c r="F16" s="930">
        <f>SUM(F14:F15)</f>
        <v>244476.854208</v>
      </c>
      <c r="G16" s="480">
        <f>SUM(B16:F16)</f>
        <v>949519.564608</v>
      </c>
      <c r="H16" s="364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</row>
    <row r="17" spans="1:32" s="49" customFormat="1" ht="20.25" customHeight="1">
      <c r="A17" s="933" t="s">
        <v>108</v>
      </c>
      <c r="B17" s="936">
        <f>(B14+B15)/6</f>
        <v>0</v>
      </c>
      <c r="C17" s="936">
        <f>C15/6</f>
        <v>1000</v>
      </c>
      <c r="D17" s="936">
        <f>D15/6</f>
        <v>1020</v>
      </c>
      <c r="E17" s="936">
        <f>E15/6</f>
        <v>1040.4</v>
      </c>
      <c r="F17" s="936">
        <f>F15/6</f>
        <v>1061.208</v>
      </c>
      <c r="G17" s="937">
        <f>SUM(B17:F17)</f>
        <v>4121.608</v>
      </c>
      <c r="H17" s="344"/>
      <c r="I17" s="288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</row>
    <row r="18" spans="1:32" s="49" customFormat="1" ht="27" customHeight="1">
      <c r="A18" s="929" t="s">
        <v>109</v>
      </c>
      <c r="B18" s="930">
        <f>B16-B17</f>
        <v>0</v>
      </c>
      <c r="C18" s="930">
        <f>C16-C17</f>
        <v>229376</v>
      </c>
      <c r="D18" s="930">
        <f>D16-D17</f>
        <v>233963.52</v>
      </c>
      <c r="E18" s="930">
        <f>E16-E17</f>
        <v>238642.7904</v>
      </c>
      <c r="F18" s="930">
        <f>F16-F17</f>
        <v>243415.646208</v>
      </c>
      <c r="G18" s="480">
        <f>SUM(B18:F18)</f>
        <v>945397.9566080001</v>
      </c>
      <c r="H18" s="344"/>
      <c r="I18" s="288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</row>
    <row r="19" spans="1:32" ht="9.75" customHeight="1">
      <c r="A19" s="931"/>
      <c r="B19" s="932"/>
      <c r="C19" s="932"/>
      <c r="D19" s="932"/>
      <c r="E19" s="932"/>
      <c r="F19" s="932"/>
      <c r="G19" s="932"/>
      <c r="H19" s="364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</row>
    <row r="20" spans="1:32" s="49" customFormat="1" ht="54" customHeight="1">
      <c r="A20" s="756" t="s">
        <v>894</v>
      </c>
      <c r="B20" s="935">
        <f>B10+B18</f>
        <v>0</v>
      </c>
      <c r="C20" s="935">
        <f>C10+C17</f>
        <v>30242.333333333332</v>
      </c>
      <c r="D20" s="935">
        <f>D10+D17</f>
        <v>30847.179999999997</v>
      </c>
      <c r="E20" s="935">
        <f>E10+E17</f>
        <v>31464.123600000003</v>
      </c>
      <c r="F20" s="935">
        <f>F10+F17</f>
        <v>32093.406072</v>
      </c>
      <c r="G20" s="751">
        <f>SUM(B20:F20)</f>
        <v>124647.04300533333</v>
      </c>
      <c r="H20" s="344"/>
      <c r="I20" s="288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</row>
    <row r="21" spans="1:32" ht="36.75" customHeight="1">
      <c r="A21" s="938" t="s">
        <v>106</v>
      </c>
      <c r="B21" s="480">
        <f>B9+B16</f>
        <v>0</v>
      </c>
      <c r="C21" s="480">
        <f>C9+C16</f>
        <v>405830</v>
      </c>
      <c r="D21" s="480">
        <f>D9+D16</f>
        <v>413946.6</v>
      </c>
      <c r="E21" s="480">
        <f>E9+E16</f>
        <v>422225.532</v>
      </c>
      <c r="F21" s="480">
        <f>F9+F16</f>
        <v>430670.04264</v>
      </c>
      <c r="G21" s="480">
        <f>SUM(B21:F21)</f>
        <v>1672672.1746399999</v>
      </c>
      <c r="H21" s="364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</row>
    <row r="22" spans="1:32" ht="24" customHeight="1">
      <c r="A22" s="419">
        <v>0.02</v>
      </c>
      <c r="B22" s="420" t="s">
        <v>43</v>
      </c>
      <c r="C22" s="417"/>
      <c r="D22" s="417"/>
      <c r="E22" s="417"/>
      <c r="F22" s="417"/>
      <c r="G22" s="417"/>
      <c r="H22" s="364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</row>
    <row r="23" spans="1:8" ht="30" customHeight="1">
      <c r="A23" s="344"/>
      <c r="B23" s="344"/>
      <c r="C23" s="936">
        <f>C10+C17</f>
        <v>30242.333333333332</v>
      </c>
      <c r="D23" s="936">
        <f>D10+D17</f>
        <v>30847.179999999997</v>
      </c>
      <c r="E23" s="936">
        <f>E10+E17</f>
        <v>31464.123600000003</v>
      </c>
      <c r="F23" s="936">
        <f>F10+F17</f>
        <v>32093.406072</v>
      </c>
      <c r="G23" s="936">
        <f>G10+G17</f>
        <v>124647.04300533334</v>
      </c>
      <c r="H23" s="344"/>
    </row>
  </sheetData>
  <sheetProtection/>
  <mergeCells count="4">
    <mergeCell ref="A3:A4"/>
    <mergeCell ref="A13:F13"/>
    <mergeCell ref="A1:G1"/>
    <mergeCell ref="A5:F5"/>
  </mergeCells>
  <printOptions horizontalCentered="1"/>
  <pageMargins left="0.15748031496062992" right="0.6299212598425197" top="0.7480314960629921" bottom="0.1968503937007874" header="0.5118110236220472" footer="0.1968503937007874"/>
  <pageSetup fitToHeight="1" fitToWidth="1" horizontalDpi="600" verticalDpi="600" orientation="landscape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zoomScale="75" zoomScaleNormal="75" zoomScalePageLayoutView="0" workbookViewId="0" topLeftCell="A1">
      <selection activeCell="A17" sqref="A17"/>
    </sheetView>
  </sheetViews>
  <sheetFormatPr defaultColWidth="14.375" defaultRowHeight="12.75"/>
  <cols>
    <col min="1" max="1" width="49.25390625" style="48" customWidth="1"/>
    <col min="2" max="6" width="17.25390625" style="48" customWidth="1"/>
    <col min="7" max="7" width="15.75390625" style="48" customWidth="1"/>
    <col min="8" max="8" width="21.625" style="48" customWidth="1"/>
    <col min="9" max="9" width="10.75390625" style="48" customWidth="1"/>
    <col min="10" max="16384" width="14.375" style="48" customWidth="1"/>
  </cols>
  <sheetData>
    <row r="1" spans="7:8" ht="14.25">
      <c r="G1" s="287"/>
      <c r="H1" s="344"/>
    </row>
    <row r="2" spans="1:8" s="288" customFormat="1" ht="20.25">
      <c r="A2" s="1293" t="s">
        <v>794</v>
      </c>
      <c r="B2" s="1294"/>
      <c r="C2" s="1294"/>
      <c r="D2" s="1294"/>
      <c r="E2" s="1294"/>
      <c r="F2" s="1294"/>
      <c r="G2" s="1294"/>
      <c r="H2" s="364"/>
    </row>
    <row r="3" spans="1:9" ht="15" customHeight="1" thickBot="1">
      <c r="A3" s="289"/>
      <c r="B3" s="290"/>
      <c r="C3" s="290"/>
      <c r="D3" s="290"/>
      <c r="E3" s="290"/>
      <c r="F3" s="290"/>
      <c r="G3" s="381" t="s">
        <v>528</v>
      </c>
      <c r="H3" s="344"/>
      <c r="I3" s="288"/>
    </row>
    <row r="4" spans="1:11" s="213" customFormat="1" ht="18" customHeight="1">
      <c r="A4" s="1289" t="s">
        <v>413</v>
      </c>
      <c r="B4" s="215" t="s">
        <v>451</v>
      </c>
      <c r="C4" s="215" t="s">
        <v>452</v>
      </c>
      <c r="D4" s="215" t="s">
        <v>453</v>
      </c>
      <c r="E4" s="215" t="s">
        <v>411</v>
      </c>
      <c r="F4" s="215" t="s">
        <v>412</v>
      </c>
      <c r="G4" s="481" t="s">
        <v>435</v>
      </c>
      <c r="H4" s="344"/>
      <c r="I4" s="288"/>
      <c r="K4" s="212"/>
    </row>
    <row r="5" spans="1:11" s="213" customFormat="1" ht="18" customHeight="1" thickBot="1">
      <c r="A5" s="1290"/>
      <c r="B5" s="217" t="s">
        <v>410</v>
      </c>
      <c r="C5" s="217" t="s">
        <v>410</v>
      </c>
      <c r="D5" s="217" t="s">
        <v>410</v>
      </c>
      <c r="E5" s="217" t="s">
        <v>410</v>
      </c>
      <c r="F5" s="217" t="s">
        <v>410</v>
      </c>
      <c r="G5" s="482" t="s">
        <v>39</v>
      </c>
      <c r="H5" s="344"/>
      <c r="I5" s="288"/>
      <c r="K5" s="212"/>
    </row>
    <row r="6" spans="1:32" ht="18.75" customHeight="1">
      <c r="A6" s="483" t="s">
        <v>703</v>
      </c>
      <c r="B6" s="755">
        <f>ДОХ!B20</f>
        <v>0</v>
      </c>
      <c r="C6" s="755">
        <f>ДОХ!C20</f>
        <v>814296</v>
      </c>
      <c r="D6" s="755">
        <f>ДОХ!D20</f>
        <v>855010.8</v>
      </c>
      <c r="E6" s="755">
        <f>ДОХ!E20</f>
        <v>897761.3400000001</v>
      </c>
      <c r="F6" s="755">
        <f>ДОХ!F20</f>
        <v>942649.4070000001</v>
      </c>
      <c r="G6" s="751">
        <f>SUM(B6:F6)</f>
        <v>3509717.5470000003</v>
      </c>
      <c r="H6" s="364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</row>
    <row r="7" spans="1:32" ht="18.75" customHeight="1">
      <c r="A7" s="756" t="s">
        <v>47</v>
      </c>
      <c r="B7" s="755">
        <f>B6/6</f>
        <v>0</v>
      </c>
      <c r="C7" s="755">
        <f>C6/6</f>
        <v>135716</v>
      </c>
      <c r="D7" s="755">
        <f>D6/6</f>
        <v>142501.80000000002</v>
      </c>
      <c r="E7" s="755">
        <f>E6/6</f>
        <v>149626.89</v>
      </c>
      <c r="F7" s="755">
        <f>F6/6</f>
        <v>157108.23450000002</v>
      </c>
      <c r="G7" s="751">
        <f>SUM(B7:F7)</f>
        <v>584952.9245000001</v>
      </c>
      <c r="H7" s="364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</row>
    <row r="8" spans="1:32" s="49" customFormat="1" ht="30">
      <c r="A8" s="750" t="s">
        <v>46</v>
      </c>
      <c r="B8" s="755">
        <v>0</v>
      </c>
      <c r="C8" s="757">
        <f>ТЕО!C39+ТЕО!C40</f>
        <v>157454</v>
      </c>
      <c r="D8" s="757">
        <f>C8*(1+$A$21)</f>
        <v>160603.08000000002</v>
      </c>
      <c r="E8" s="757">
        <f>D8*(1+$A$21)</f>
        <v>163815.14160000003</v>
      </c>
      <c r="F8" s="757">
        <f>E8*(1+$A$21)</f>
        <v>167091.44443200005</v>
      </c>
      <c r="G8" s="751">
        <f>SUM(B8:F8)</f>
        <v>648963.6660320001</v>
      </c>
      <c r="H8" s="365"/>
      <c r="I8" s="288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</row>
    <row r="9" spans="1:32" s="49" customFormat="1" ht="32.25" thickBot="1">
      <c r="A9" s="760" t="s">
        <v>891</v>
      </c>
      <c r="B9" s="761">
        <f>B8/6</f>
        <v>0</v>
      </c>
      <c r="C9" s="761">
        <f>C8/6</f>
        <v>26242.333333333332</v>
      </c>
      <c r="D9" s="761">
        <f>D8/6</f>
        <v>26767.180000000004</v>
      </c>
      <c r="E9" s="761">
        <f>E8/6</f>
        <v>27302.523600000004</v>
      </c>
      <c r="F9" s="761">
        <f>F8/6</f>
        <v>27848.574072000007</v>
      </c>
      <c r="G9" s="762">
        <f>SUM(B9:F9)</f>
        <v>108160.61100533334</v>
      </c>
      <c r="H9" s="365"/>
      <c r="I9" s="288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</row>
    <row r="10" spans="1:32" ht="39" customHeight="1">
      <c r="A10" s="758" t="s">
        <v>50</v>
      </c>
      <c r="B10" s="759">
        <f>B7-B9</f>
        <v>0</v>
      </c>
      <c r="C10" s="759">
        <f>C7-C9</f>
        <v>109473.66666666667</v>
      </c>
      <c r="D10" s="759">
        <f>D7-D9</f>
        <v>115734.62000000001</v>
      </c>
      <c r="E10" s="759">
        <f>E7-E9</f>
        <v>122324.36640000001</v>
      </c>
      <c r="F10" s="759">
        <f>F7-F9</f>
        <v>129259.66042800002</v>
      </c>
      <c r="G10" s="759">
        <f>SUM(B10:F10)</f>
        <v>476792.3134946667</v>
      </c>
      <c r="H10" s="364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</row>
    <row r="11" spans="1:32" ht="24" customHeight="1">
      <c r="A11" s="419">
        <v>0.05</v>
      </c>
      <c r="B11" s="754" t="s">
        <v>44</v>
      </c>
      <c r="C11" s="417"/>
      <c r="D11" s="417"/>
      <c r="E11" s="417"/>
      <c r="F11" s="417"/>
      <c r="G11" s="417"/>
      <c r="H11" s="364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</row>
    <row r="12" spans="1:8" s="288" customFormat="1" ht="24" customHeight="1">
      <c r="A12" s="1294" t="s">
        <v>49</v>
      </c>
      <c r="B12" s="1294"/>
      <c r="C12" s="1294"/>
      <c r="D12" s="1294"/>
      <c r="E12" s="1294"/>
      <c r="F12" s="1294"/>
      <c r="G12" s="1294"/>
      <c r="H12" s="364"/>
    </row>
    <row r="13" spans="1:32" ht="15" customHeight="1" thickBot="1">
      <c r="A13" s="417"/>
      <c r="B13" s="417"/>
      <c r="C13" s="417"/>
      <c r="D13" s="417"/>
      <c r="E13" s="417"/>
      <c r="F13" s="417"/>
      <c r="G13" s="381" t="s">
        <v>705</v>
      </c>
      <c r="H13" s="364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</row>
    <row r="14" spans="1:11" s="213" customFormat="1" ht="18" customHeight="1">
      <c r="A14" s="1289" t="s">
        <v>413</v>
      </c>
      <c r="B14" s="215" t="s">
        <v>451</v>
      </c>
      <c r="C14" s="215" t="s">
        <v>452</v>
      </c>
      <c r="D14" s="215" t="s">
        <v>453</v>
      </c>
      <c r="E14" s="215" t="s">
        <v>411</v>
      </c>
      <c r="F14" s="215" t="s">
        <v>412</v>
      </c>
      <c r="G14" s="481" t="s">
        <v>435</v>
      </c>
      <c r="H14" s="344"/>
      <c r="I14" s="288"/>
      <c r="K14" s="212"/>
    </row>
    <row r="15" spans="1:11" s="213" customFormat="1" ht="18" customHeight="1" thickBot="1">
      <c r="A15" s="1290"/>
      <c r="B15" s="217" t="s">
        <v>410</v>
      </c>
      <c r="C15" s="217" t="s">
        <v>410</v>
      </c>
      <c r="D15" s="217" t="s">
        <v>410</v>
      </c>
      <c r="E15" s="217" t="s">
        <v>410</v>
      </c>
      <c r="F15" s="217" t="s">
        <v>410</v>
      </c>
      <c r="G15" s="482" t="s">
        <v>397</v>
      </c>
      <c r="H15" s="479" t="s">
        <v>726</v>
      </c>
      <c r="I15" s="288"/>
      <c r="K15" s="212"/>
    </row>
    <row r="16" spans="1:32" s="49" customFormat="1" ht="64.5" customHeight="1">
      <c r="A16" s="763" t="s">
        <v>48</v>
      </c>
      <c r="B16" s="484">
        <v>0</v>
      </c>
      <c r="C16" s="484">
        <f>ТЕО!C41+ТЕО!C42</f>
        <v>24000</v>
      </c>
      <c r="D16" s="939">
        <f>C16*(1+$A$21)</f>
        <v>24480</v>
      </c>
      <c r="E16" s="939">
        <f>D16*(1+$A$21)</f>
        <v>24969.600000000002</v>
      </c>
      <c r="F16" s="939">
        <f>E16*(1+$A$21)</f>
        <v>25468.992000000002</v>
      </c>
      <c r="G16" s="416">
        <f>SUM(B16:F16)</f>
        <v>98918.592</v>
      </c>
      <c r="H16" s="344"/>
      <c r="I16" s="288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</row>
    <row r="17" spans="1:32" s="49" customFormat="1" ht="41.25" customHeight="1">
      <c r="A17" s="764" t="s">
        <v>819</v>
      </c>
      <c r="B17" s="755">
        <f>B16/6</f>
        <v>0</v>
      </c>
      <c r="C17" s="755">
        <f>C16/6</f>
        <v>4000</v>
      </c>
      <c r="D17" s="755">
        <f>D16/6</f>
        <v>4080</v>
      </c>
      <c r="E17" s="755">
        <f>E16/6</f>
        <v>4161.6</v>
      </c>
      <c r="F17" s="755">
        <f>F16/6</f>
        <v>4244.832</v>
      </c>
      <c r="G17" s="751">
        <f>SUM(B17:F17)</f>
        <v>16486.432</v>
      </c>
      <c r="H17" s="344"/>
      <c r="I17" s="288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</row>
    <row r="18" spans="1:32" s="49" customFormat="1" ht="9" customHeight="1">
      <c r="A18" s="288"/>
      <c r="B18" s="288"/>
      <c r="C18" s="288"/>
      <c r="D18" s="288"/>
      <c r="E18" s="288"/>
      <c r="F18" s="288"/>
      <c r="G18" s="288"/>
      <c r="H18" s="344"/>
      <c r="I18" s="288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</row>
    <row r="19" spans="1:32" s="49" customFormat="1" ht="54" customHeight="1">
      <c r="A19" s="748" t="s">
        <v>890</v>
      </c>
      <c r="B19" s="485">
        <f>B9+B17</f>
        <v>0</v>
      </c>
      <c r="C19" s="485">
        <f>C9+C17</f>
        <v>30242.333333333332</v>
      </c>
      <c r="D19" s="485">
        <f>D9+D17</f>
        <v>30847.180000000004</v>
      </c>
      <c r="E19" s="485">
        <f>E9+E17</f>
        <v>31464.123600000006</v>
      </c>
      <c r="F19" s="485">
        <f>F9+F17</f>
        <v>32093.406072000005</v>
      </c>
      <c r="G19" s="480">
        <f>SUM(B19:F19)</f>
        <v>124647.04300533334</v>
      </c>
      <c r="H19" s="979">
        <f>ВИТ!G20</f>
        <v>124647.04300533333</v>
      </c>
      <c r="I19" s="420" t="s">
        <v>179</v>
      </c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</row>
    <row r="20" spans="1:32" s="49" customFormat="1" ht="61.5">
      <c r="A20" s="748" t="s">
        <v>54</v>
      </c>
      <c r="B20" s="485">
        <f>B10-B17</f>
        <v>0</v>
      </c>
      <c r="C20" s="485">
        <f>C10-C17</f>
        <v>105473.66666666667</v>
      </c>
      <c r="D20" s="485">
        <f>D10-D17</f>
        <v>111654.62000000001</v>
      </c>
      <c r="E20" s="485">
        <f>E10-E17</f>
        <v>118162.76640000001</v>
      </c>
      <c r="F20" s="485">
        <f>F10-F17</f>
        <v>125014.82842800002</v>
      </c>
      <c r="G20" s="480">
        <f>SUM(B20:F20)</f>
        <v>460305.88149466674</v>
      </c>
      <c r="H20" s="979">
        <f>КЕШ!J12</f>
        <v>460305.88149466674</v>
      </c>
      <c r="I20" s="420" t="s">
        <v>180</v>
      </c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</row>
    <row r="21" spans="1:32" ht="15.75">
      <c r="A21" s="419">
        <v>0.02</v>
      </c>
      <c r="B21" s="754" t="s">
        <v>45</v>
      </c>
      <c r="C21" s="417"/>
      <c r="D21" s="417"/>
      <c r="E21" s="417"/>
      <c r="F21" s="417"/>
      <c r="G21" s="417"/>
      <c r="H21" s="364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</row>
    <row r="22" spans="1:8" ht="92.25" customHeight="1">
      <c r="A22" s="344"/>
      <c r="B22" s="344"/>
      <c r="C22" s="344"/>
      <c r="D22" s="344"/>
      <c r="E22" s="344"/>
      <c r="F22" s="344"/>
      <c r="G22" s="344"/>
      <c r="H22" s="344"/>
    </row>
  </sheetData>
  <sheetProtection/>
  <mergeCells count="4">
    <mergeCell ref="A14:A15"/>
    <mergeCell ref="A2:G2"/>
    <mergeCell ref="A4:A5"/>
    <mergeCell ref="A12:G12"/>
  </mergeCells>
  <printOptions/>
  <pageMargins left="0.2362204724409449" right="0.6299212598425197" top="0.7086614173228347" bottom="0.1968503937007874" header="0.5118110236220472" footer="0.1968503937007874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G17" sqref="G17"/>
    </sheetView>
  </sheetViews>
  <sheetFormatPr defaultColWidth="9.00390625" defaultRowHeight="12.75"/>
  <cols>
    <col min="1" max="1" width="5.75390625" style="183" customWidth="1"/>
    <col min="2" max="2" width="51.00390625" style="132" bestFit="1" customWidth="1"/>
    <col min="3" max="3" width="16.75390625" style="132" customWidth="1"/>
    <col min="4" max="4" width="16.75390625" style="182" customWidth="1"/>
    <col min="5" max="5" width="20.375" style="132" customWidth="1"/>
    <col min="6" max="16384" width="9.125" style="132" customWidth="1"/>
  </cols>
  <sheetData>
    <row r="1" spans="4:5" s="45" customFormat="1" ht="12.75">
      <c r="D1" s="179"/>
      <c r="E1" s="349"/>
    </row>
    <row r="2" spans="1:5" s="180" customFormat="1" ht="18">
      <c r="A2" s="1123" t="s">
        <v>520</v>
      </c>
      <c r="B2" s="1123"/>
      <c r="C2" s="1123"/>
      <c r="D2" s="1123"/>
      <c r="E2" s="350"/>
    </row>
    <row r="3" spans="1:5" s="180" customFormat="1" ht="15.75">
      <c r="A3" s="1124" t="s">
        <v>13</v>
      </c>
      <c r="B3" s="1124"/>
      <c r="C3" s="1124"/>
      <c r="D3" s="1124"/>
      <c r="E3" s="350"/>
    </row>
    <row r="4" spans="1:5" s="180" customFormat="1" ht="6" customHeight="1">
      <c r="A4" s="181"/>
      <c r="B4" s="181"/>
      <c r="C4" s="181"/>
      <c r="D4" s="181"/>
      <c r="E4" s="350"/>
    </row>
    <row r="5" spans="1:5" s="194" customFormat="1" ht="28.5" customHeight="1">
      <c r="A5" s="195" t="s">
        <v>611</v>
      </c>
      <c r="B5" s="196" t="s">
        <v>483</v>
      </c>
      <c r="C5" s="566" t="s">
        <v>7</v>
      </c>
      <c r="D5" s="447" t="s">
        <v>8</v>
      </c>
      <c r="E5" s="351"/>
    </row>
    <row r="6" spans="1:5" s="133" customFormat="1" ht="30" customHeight="1">
      <c r="A6" s="567">
        <v>1</v>
      </c>
      <c r="B6" s="568" t="s">
        <v>960</v>
      </c>
      <c r="C6" s="568"/>
      <c r="D6" s="581">
        <f>ГРФ!T17</f>
        <v>188980</v>
      </c>
      <c r="E6" s="350"/>
    </row>
    <row r="7" spans="1:5" s="133" customFormat="1" ht="30" customHeight="1">
      <c r="A7" s="567">
        <v>2</v>
      </c>
      <c r="B7" s="568" t="s">
        <v>961</v>
      </c>
      <c r="C7" s="568"/>
      <c r="D7" s="581">
        <f>ГРФ!T28</f>
        <v>129014</v>
      </c>
      <c r="E7" s="350"/>
    </row>
    <row r="8" spans="1:5" s="133" customFormat="1" ht="30" customHeight="1">
      <c r="A8" s="567">
        <v>3</v>
      </c>
      <c r="B8" s="568" t="s">
        <v>834</v>
      </c>
      <c r="C8" s="581">
        <f>ГРФ!T13</f>
        <v>70000</v>
      </c>
      <c r="D8" s="581">
        <v>0</v>
      </c>
      <c r="E8" s="350"/>
    </row>
    <row r="9" spans="1:5" s="133" customFormat="1" ht="30" customHeight="1">
      <c r="A9" s="567">
        <v>4</v>
      </c>
      <c r="B9" s="568" t="s">
        <v>959</v>
      </c>
      <c r="C9" s="576">
        <v>7994</v>
      </c>
      <c r="D9" s="581">
        <f>ГРФ!T15-C9</f>
        <v>12006</v>
      </c>
      <c r="E9" s="350"/>
    </row>
    <row r="10" spans="1:5" s="133" customFormat="1" ht="30" customHeight="1">
      <c r="A10" s="567">
        <v>5</v>
      </c>
      <c r="B10" s="568" t="s">
        <v>9</v>
      </c>
      <c r="C10" s="576">
        <f>ГРФ!T7+ГРФ!T9</f>
        <v>6000</v>
      </c>
      <c r="D10" s="576"/>
      <c r="E10" s="350"/>
    </row>
    <row r="11" spans="1:5" s="133" customFormat="1" ht="30" customHeight="1">
      <c r="A11" s="567">
        <v>6</v>
      </c>
      <c r="B11" s="568" t="s">
        <v>467</v>
      </c>
      <c r="C11" s="576">
        <f>ГРФ!T22</f>
        <v>5000</v>
      </c>
      <c r="D11" s="577"/>
      <c r="E11" s="350"/>
    </row>
    <row r="12" spans="1:5" s="133" customFormat="1" ht="30" customHeight="1">
      <c r="A12" s="567">
        <v>7</v>
      </c>
      <c r="B12" s="568" t="s">
        <v>484</v>
      </c>
      <c r="C12" s="576">
        <f>ГРФ!T24</f>
        <v>5000</v>
      </c>
      <c r="D12" s="577"/>
      <c r="E12" s="350"/>
    </row>
    <row r="13" spans="1:5" s="133" customFormat="1" ht="30" customHeight="1">
      <c r="A13" s="567">
        <v>8</v>
      </c>
      <c r="B13" s="568" t="s">
        <v>6</v>
      </c>
      <c r="C13" s="576">
        <f>ГРФ!T30</f>
        <v>3006</v>
      </c>
      <c r="D13" s="577"/>
      <c r="E13" s="350"/>
    </row>
    <row r="14" spans="1:5" s="133" customFormat="1" ht="30" customHeight="1">
      <c r="A14" s="567">
        <v>9</v>
      </c>
      <c r="B14" s="568" t="s">
        <v>468</v>
      </c>
      <c r="C14" s="576">
        <f>ГРФ!T26</f>
        <v>2000</v>
      </c>
      <c r="D14" s="577"/>
      <c r="E14" s="350"/>
    </row>
    <row r="15" spans="1:5" s="133" customFormat="1" ht="30" customHeight="1">
      <c r="A15" s="567">
        <v>10</v>
      </c>
      <c r="B15" s="568" t="s">
        <v>395</v>
      </c>
      <c r="C15" s="576">
        <f>ГРФ!T20</f>
        <v>1000</v>
      </c>
      <c r="D15" s="577"/>
      <c r="E15" s="350"/>
    </row>
    <row r="16" spans="1:11" s="133" customFormat="1" ht="30" customHeight="1" thickBot="1">
      <c r="A16" s="569"/>
      <c r="B16" s="570"/>
      <c r="C16" s="570"/>
      <c r="D16" s="578"/>
      <c r="E16" s="350"/>
      <c r="F16" s="132"/>
      <c r="G16" s="132"/>
      <c r="H16" s="132"/>
      <c r="I16" s="132"/>
      <c r="J16" s="132"/>
      <c r="K16" s="132"/>
    </row>
    <row r="17" spans="1:5" ht="24" customHeight="1">
      <c r="A17" s="579" t="s">
        <v>10</v>
      </c>
      <c r="B17" s="571"/>
      <c r="C17" s="574"/>
      <c r="D17" s="582">
        <f>SUM(D6:D16)</f>
        <v>330000</v>
      </c>
      <c r="E17" s="350"/>
    </row>
    <row r="18" spans="1:5" ht="24" customHeight="1">
      <c r="A18" s="580" t="s">
        <v>11</v>
      </c>
      <c r="B18" s="572"/>
      <c r="C18" s="575">
        <f>SUM(C6:C16)</f>
        <v>100000</v>
      </c>
      <c r="D18" s="573"/>
      <c r="E18" s="350"/>
    </row>
    <row r="19" spans="1:5" ht="24" customHeight="1">
      <c r="A19" s="579" t="s">
        <v>12</v>
      </c>
      <c r="B19" s="571"/>
      <c r="C19" s="571"/>
      <c r="D19" s="582">
        <f>D17+C18</f>
        <v>430000</v>
      </c>
      <c r="E19" s="350"/>
    </row>
    <row r="20" spans="1:5" ht="60" customHeight="1">
      <c r="A20" s="350"/>
      <c r="B20" s="350"/>
      <c r="C20" s="350"/>
      <c r="D20" s="350"/>
      <c r="E20" s="350"/>
    </row>
  </sheetData>
  <sheetProtection/>
  <mergeCells count="2">
    <mergeCell ref="A2:D2"/>
    <mergeCell ref="A3:D3"/>
  </mergeCells>
  <printOptions horizontalCentered="1"/>
  <pageMargins left="0.7874015748031497" right="0.27" top="0.8661417322834646" bottom="0.31496062992125984" header="0.5118110236220472" footer="0.275590551181102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="75" zoomScaleNormal="75" zoomScalePageLayoutView="0" workbookViewId="0" topLeftCell="A1">
      <selection activeCell="P23" sqref="P23"/>
    </sheetView>
  </sheetViews>
  <sheetFormatPr defaultColWidth="14.375" defaultRowHeight="12.75"/>
  <cols>
    <col min="1" max="1" width="5.875" style="48" customWidth="1"/>
    <col min="2" max="2" width="45.25390625" style="48" customWidth="1"/>
    <col min="3" max="3" width="14.375" style="48" customWidth="1"/>
    <col min="4" max="8" width="13.75390625" style="48" customWidth="1"/>
    <col min="9" max="9" width="16.00390625" style="48" customWidth="1"/>
    <col min="10" max="10" width="13.75390625" style="219" customWidth="1"/>
    <col min="11" max="11" width="4.125" style="224" hidden="1" customWidth="1"/>
    <col min="12" max="12" width="5.875" style="48" customWidth="1"/>
    <col min="13" max="13" width="0.875" style="48" customWidth="1"/>
    <col min="14" max="14" width="3.875" style="48" customWidth="1"/>
    <col min="15" max="17" width="15.375" style="48" customWidth="1"/>
    <col min="18" max="16384" width="14.375" style="48" customWidth="1"/>
  </cols>
  <sheetData>
    <row r="1" spans="1:12" s="213" customFormat="1" ht="19.5" customHeight="1">
      <c r="A1" s="1297" t="s">
        <v>795</v>
      </c>
      <c r="B1" s="1297"/>
      <c r="C1" s="1297"/>
      <c r="D1" s="1297"/>
      <c r="E1" s="1297"/>
      <c r="F1" s="1297"/>
      <c r="G1" s="1297"/>
      <c r="H1" s="1297"/>
      <c r="I1" s="1297"/>
      <c r="J1" s="341"/>
      <c r="K1" s="211"/>
      <c r="L1" s="212"/>
    </row>
    <row r="2" spans="1:12" s="213" customFormat="1" ht="27" customHeight="1" thickBot="1">
      <c r="A2" s="214"/>
      <c r="B2" s="214"/>
      <c r="C2" s="214"/>
      <c r="D2" s="214"/>
      <c r="E2" s="214"/>
      <c r="F2" s="214"/>
      <c r="G2" s="214"/>
      <c r="H2" s="214"/>
      <c r="I2" s="381" t="s">
        <v>796</v>
      </c>
      <c r="J2" s="342"/>
      <c r="K2" s="211"/>
      <c r="L2" s="212"/>
    </row>
    <row r="3" spans="1:16" s="848" customFormat="1" ht="21" customHeight="1">
      <c r="A3" s="1298" t="s">
        <v>437</v>
      </c>
      <c r="B3" s="1300" t="s">
        <v>767</v>
      </c>
      <c r="C3" s="1302" t="s">
        <v>768</v>
      </c>
      <c r="D3" s="463">
        <v>2006</v>
      </c>
      <c r="E3" s="463">
        <v>2007</v>
      </c>
      <c r="F3" s="463">
        <v>2008</v>
      </c>
      <c r="G3" s="463">
        <v>2009</v>
      </c>
      <c r="H3" s="463">
        <v>2010</v>
      </c>
      <c r="I3" s="746" t="s">
        <v>38</v>
      </c>
      <c r="J3" s="847"/>
      <c r="L3" s="849"/>
      <c r="O3" s="1296" t="s">
        <v>352</v>
      </c>
      <c r="P3" s="1296"/>
    </row>
    <row r="4" spans="1:16" s="852" customFormat="1" ht="24" customHeight="1">
      <c r="A4" s="1299"/>
      <c r="B4" s="1301"/>
      <c r="C4" s="1303"/>
      <c r="D4" s="850" t="s">
        <v>410</v>
      </c>
      <c r="E4" s="850" t="s">
        <v>410</v>
      </c>
      <c r="F4" s="850" t="s">
        <v>410</v>
      </c>
      <c r="G4" s="850" t="s">
        <v>410</v>
      </c>
      <c r="H4" s="850" t="s">
        <v>410</v>
      </c>
      <c r="I4" s="902" t="s">
        <v>516</v>
      </c>
      <c r="J4" s="851"/>
      <c r="L4" s="853"/>
      <c r="O4" s="1295" t="s">
        <v>363</v>
      </c>
      <c r="P4" s="1295"/>
    </row>
    <row r="5" spans="1:16" s="49" customFormat="1" ht="21.75" customHeight="1">
      <c r="A5" s="854">
        <v>1</v>
      </c>
      <c r="B5" s="855" t="s">
        <v>704</v>
      </c>
      <c r="C5" s="856"/>
      <c r="D5" s="857">
        <f>ДОХ!B22</f>
        <v>0</v>
      </c>
      <c r="E5" s="857">
        <f>ДОХ!C22</f>
        <v>678580</v>
      </c>
      <c r="F5" s="857">
        <f>ДОХ!D22</f>
        <v>712509</v>
      </c>
      <c r="G5" s="857">
        <f>ДОХ!E22</f>
        <v>748134.4500000001</v>
      </c>
      <c r="H5" s="857">
        <f>ДОХ!F22</f>
        <v>785541.1725000001</v>
      </c>
      <c r="I5" s="858">
        <f>SUM(D5:H5)</f>
        <v>2924764.6225000005</v>
      </c>
      <c r="J5" s="859"/>
      <c r="L5" s="1028"/>
      <c r="O5" s="444" t="s">
        <v>554</v>
      </c>
      <c r="P5" s="425">
        <v>414126.8918791512</v>
      </c>
    </row>
    <row r="6" spans="1:12" ht="21.75" customHeight="1">
      <c r="A6" s="854">
        <f aca="true" t="shared" si="0" ref="A6:A20">A5+1</f>
        <v>2</v>
      </c>
      <c r="B6" s="860" t="s">
        <v>328</v>
      </c>
      <c r="C6" s="856"/>
      <c r="D6" s="965">
        <f>ГРФ!V34</f>
        <v>330000</v>
      </c>
      <c r="E6" s="857">
        <v>0</v>
      </c>
      <c r="F6" s="857">
        <v>0</v>
      </c>
      <c r="G6" s="857">
        <v>0</v>
      </c>
      <c r="H6" s="857">
        <v>0</v>
      </c>
      <c r="I6" s="858">
        <f>SUM(D6:H6)</f>
        <v>330000</v>
      </c>
      <c r="J6" s="859"/>
      <c r="K6" s="48"/>
      <c r="L6" s="1028"/>
    </row>
    <row r="7" spans="1:16" s="49" customFormat="1" ht="21.75" customHeight="1">
      <c r="A7" s="854">
        <f t="shared" si="0"/>
        <v>3</v>
      </c>
      <c r="B7" s="855" t="s">
        <v>177</v>
      </c>
      <c r="C7" s="856"/>
      <c r="D7" s="965">
        <f>ГРФ!U36+'%1'!I16</f>
        <v>129992.65139726027</v>
      </c>
      <c r="E7" s="964">
        <v>0</v>
      </c>
      <c r="F7" s="964">
        <v>0</v>
      </c>
      <c r="G7" s="964">
        <v>0</v>
      </c>
      <c r="H7" s="964">
        <v>0</v>
      </c>
      <c r="I7" s="858">
        <f>SUM(D7:H7)</f>
        <v>129992.65139726027</v>
      </c>
      <c r="J7" s="859"/>
      <c r="L7" s="1028"/>
      <c r="O7" s="444"/>
      <c r="P7" s="425"/>
    </row>
    <row r="8" spans="1:16" s="49" customFormat="1" ht="21.75" customHeight="1">
      <c r="A8" s="861">
        <f t="shared" si="0"/>
        <v>4</v>
      </c>
      <c r="B8" s="862" t="s">
        <v>831</v>
      </c>
      <c r="C8" s="856" t="s">
        <v>769</v>
      </c>
      <c r="D8" s="863">
        <f>SUM(D5:D7)</f>
        <v>459992.65139726026</v>
      </c>
      <c r="E8" s="863">
        <f>SUM(E5:E7)</f>
        <v>678580</v>
      </c>
      <c r="F8" s="863">
        <f>SUM(F5:F7)</f>
        <v>712509</v>
      </c>
      <c r="G8" s="863">
        <f>SUM(G5:G7)</f>
        <v>748134.4500000001</v>
      </c>
      <c r="H8" s="863">
        <f>SUM(H5:H7)</f>
        <v>785541.1725000001</v>
      </c>
      <c r="I8" s="864">
        <f aca="true" t="shared" si="1" ref="I8:I20">SUM(D8:H8)</f>
        <v>3384757.2738972604</v>
      </c>
      <c r="J8" s="859"/>
      <c r="L8" s="1028"/>
      <c r="O8" s="444" t="s">
        <v>564</v>
      </c>
      <c r="P8" s="427">
        <v>1.0976714367639508</v>
      </c>
    </row>
    <row r="9" spans="1:12" s="49" customFormat="1" ht="21.75" customHeight="1">
      <c r="A9" s="854">
        <f t="shared" si="0"/>
        <v>5</v>
      </c>
      <c r="B9" s="855" t="s">
        <v>770</v>
      </c>
      <c r="C9" s="856" t="s">
        <v>771</v>
      </c>
      <c r="D9" s="964">
        <f>ВИТ!B11</f>
        <v>0</v>
      </c>
      <c r="E9" s="964">
        <f>ВИТ!C11</f>
        <v>146211.66666666666</v>
      </c>
      <c r="F9" s="964">
        <f>ВИТ!D11</f>
        <v>149135.9</v>
      </c>
      <c r="G9" s="964">
        <f>ВИТ!E11</f>
        <v>152118.61800000002</v>
      </c>
      <c r="H9" s="964">
        <f>ВИТ!F11</f>
        <v>155160.99036000003</v>
      </c>
      <c r="I9" s="858">
        <f t="shared" si="1"/>
        <v>602627.1750266667</v>
      </c>
      <c r="J9" s="859"/>
      <c r="L9" s="1028"/>
    </row>
    <row r="10" spans="1:12" ht="21.75" customHeight="1">
      <c r="A10" s="854">
        <f t="shared" si="0"/>
        <v>6</v>
      </c>
      <c r="B10" s="855" t="s">
        <v>897</v>
      </c>
      <c r="C10" s="856" t="s">
        <v>699</v>
      </c>
      <c r="D10" s="857">
        <f>ГРФ!T34</f>
        <v>430000</v>
      </c>
      <c r="E10" s="857">
        <f>ВИТ!C18</f>
        <v>229376</v>
      </c>
      <c r="F10" s="857">
        <f>ВИТ!D18</f>
        <v>233963.52</v>
      </c>
      <c r="G10" s="857">
        <f>ВИТ!E18</f>
        <v>238642.7904</v>
      </c>
      <c r="H10" s="857">
        <f>ВИТ!F18</f>
        <v>243415.646208</v>
      </c>
      <c r="I10" s="858">
        <f t="shared" si="1"/>
        <v>1375397.956608</v>
      </c>
      <c r="J10" s="859"/>
      <c r="K10" s="48"/>
      <c r="L10" s="1028"/>
    </row>
    <row r="11" spans="1:12" ht="21.75" customHeight="1">
      <c r="A11" s="854">
        <f t="shared" si="0"/>
        <v>7</v>
      </c>
      <c r="B11" s="855" t="s">
        <v>187</v>
      </c>
      <c r="C11" s="856" t="s">
        <v>188</v>
      </c>
      <c r="D11" s="857">
        <f>'%5'!I14</f>
        <v>29992.65139726027</v>
      </c>
      <c r="E11" s="857">
        <f>'%5'!J14</f>
        <v>70200</v>
      </c>
      <c r="F11" s="857">
        <f>'%5'!K14</f>
        <v>46200</v>
      </c>
      <c r="G11" s="857">
        <f>'%5'!L14</f>
        <v>22200</v>
      </c>
      <c r="H11" s="857">
        <f>'%5'!M14</f>
        <v>1800</v>
      </c>
      <c r="I11" s="858">
        <f t="shared" si="1"/>
        <v>170392.65139726026</v>
      </c>
      <c r="J11" s="859"/>
      <c r="K11" s="48"/>
      <c r="L11" s="1028"/>
    </row>
    <row r="12" spans="1:12" ht="21.75" customHeight="1">
      <c r="A12" s="861">
        <f>A11+1</f>
        <v>8</v>
      </c>
      <c r="B12" s="865" t="s">
        <v>772</v>
      </c>
      <c r="C12" s="856" t="s">
        <v>773</v>
      </c>
      <c r="D12" s="863">
        <f>SUM(D9:D11)</f>
        <v>459992.65139726026</v>
      </c>
      <c r="E12" s="863">
        <f>SUM(E9:E11)</f>
        <v>445787.6666666666</v>
      </c>
      <c r="F12" s="863">
        <f>SUM(F9:F11)</f>
        <v>429299.42</v>
      </c>
      <c r="G12" s="863">
        <f>SUM(G9:G11)</f>
        <v>412961.4084</v>
      </c>
      <c r="H12" s="863">
        <f>SUM(H9:H11)</f>
        <v>400376.636568</v>
      </c>
      <c r="I12" s="864">
        <f t="shared" si="1"/>
        <v>2148417.783031927</v>
      </c>
      <c r="J12" s="859"/>
      <c r="K12" s="49"/>
      <c r="L12" s="1028"/>
    </row>
    <row r="13" spans="1:12" ht="21.75" customHeight="1">
      <c r="A13" s="854">
        <f>A12+1</f>
        <v>9</v>
      </c>
      <c r="B13" s="855" t="s">
        <v>774</v>
      </c>
      <c r="C13" s="856" t="s">
        <v>775</v>
      </c>
      <c r="D13" s="857">
        <f>D8-D12</f>
        <v>0</v>
      </c>
      <c r="E13" s="857">
        <f>E8-E12</f>
        <v>232792.33333333337</v>
      </c>
      <c r="F13" s="857">
        <f>F8-F12</f>
        <v>283209.58</v>
      </c>
      <c r="G13" s="857">
        <f>G8-G12</f>
        <v>335173.04160000006</v>
      </c>
      <c r="H13" s="857">
        <f>H8-H12</f>
        <v>385164.5359320001</v>
      </c>
      <c r="I13" s="858">
        <f t="shared" si="1"/>
        <v>1236339.4908653335</v>
      </c>
      <c r="J13" s="859"/>
      <c r="K13" s="48"/>
      <c r="L13" s="1028"/>
    </row>
    <row r="14" spans="1:12" ht="21.75" customHeight="1">
      <c r="A14" s="854">
        <f t="shared" si="0"/>
        <v>10</v>
      </c>
      <c r="B14" s="860" t="s">
        <v>776</v>
      </c>
      <c r="C14" s="856" t="s">
        <v>777</v>
      </c>
      <c r="D14" s="857">
        <v>0</v>
      </c>
      <c r="E14" s="857">
        <v>0</v>
      </c>
      <c r="F14" s="857">
        <v>0</v>
      </c>
      <c r="G14" s="857">
        <v>0</v>
      </c>
      <c r="H14" s="857">
        <v>0</v>
      </c>
      <c r="I14" s="858">
        <f t="shared" si="1"/>
        <v>0</v>
      </c>
      <c r="J14" s="859"/>
      <c r="K14" s="48"/>
      <c r="L14" s="1028"/>
    </row>
    <row r="15" spans="1:12" ht="21.75" customHeight="1">
      <c r="A15" s="854">
        <f t="shared" si="0"/>
        <v>11</v>
      </c>
      <c r="B15" s="860" t="s">
        <v>778</v>
      </c>
      <c r="C15" s="856" t="s">
        <v>779</v>
      </c>
      <c r="D15" s="857">
        <f>АМ!C26</f>
        <v>13264.460287780763</v>
      </c>
      <c r="E15" s="857">
        <f>АМ!D26</f>
        <v>90255.1552331322</v>
      </c>
      <c r="F15" s="857">
        <f>АМ!E26</f>
        <v>57740.85154364251</v>
      </c>
      <c r="G15" s="857">
        <f>АМ!F26</f>
        <v>38610.09998759841</v>
      </c>
      <c r="H15" s="857">
        <f>АМ!G26</f>
        <v>26959.255008906206</v>
      </c>
      <c r="I15" s="858">
        <f t="shared" si="1"/>
        <v>226829.82206106008</v>
      </c>
      <c r="J15" s="859"/>
      <c r="K15" s="48"/>
      <c r="L15" s="1028"/>
    </row>
    <row r="16" spans="1:12" ht="21.75" customHeight="1">
      <c r="A16" s="861">
        <f>A15+1</f>
        <v>12</v>
      </c>
      <c r="B16" s="973" t="s">
        <v>240</v>
      </c>
      <c r="C16" s="974" t="s">
        <v>824</v>
      </c>
      <c r="D16" s="975">
        <f>D13-D14-D15</f>
        <v>-13264.460287780763</v>
      </c>
      <c r="E16" s="975">
        <f>E13-E14-E15</f>
        <v>142537.17810020118</v>
      </c>
      <c r="F16" s="975">
        <f>F13-F14-F15</f>
        <v>225468.7284563575</v>
      </c>
      <c r="G16" s="975">
        <f>G13-G14-G15</f>
        <v>296562.9416124016</v>
      </c>
      <c r="H16" s="975">
        <f>H13-H14-H15</f>
        <v>358205.2809230939</v>
      </c>
      <c r="I16" s="978">
        <f t="shared" si="1"/>
        <v>1009509.6688042735</v>
      </c>
      <c r="J16" s="859"/>
      <c r="K16" s="48"/>
      <c r="L16" s="1028"/>
    </row>
    <row r="17" spans="1:12" ht="21.75" customHeight="1">
      <c r="A17" s="854">
        <f t="shared" si="0"/>
        <v>13</v>
      </c>
      <c r="B17" s="855" t="s">
        <v>825</v>
      </c>
      <c r="C17" s="866">
        <v>0.25</v>
      </c>
      <c r="D17" s="857">
        <f>IF(D16&gt;0,D16*$C$17,0)</f>
        <v>0</v>
      </c>
      <c r="E17" s="857">
        <f>IF(E16&gt;0,E16*$C$17,0)</f>
        <v>35634.294525050296</v>
      </c>
      <c r="F17" s="857">
        <f>IF(F16&gt;0,F16*$C$17,0)</f>
        <v>56367.18211408937</v>
      </c>
      <c r="G17" s="857">
        <f>IF(G16&gt;0,G16*$C$17,0)</f>
        <v>74140.7354031004</v>
      </c>
      <c r="H17" s="857">
        <f>IF(H16&gt;0,H16*$C$17,0)</f>
        <v>89551.32023077348</v>
      </c>
      <c r="I17" s="858">
        <f t="shared" si="1"/>
        <v>255693.53227301355</v>
      </c>
      <c r="J17" s="859"/>
      <c r="K17" s="48"/>
      <c r="L17" s="1028"/>
    </row>
    <row r="18" spans="1:12" ht="21.75" customHeight="1">
      <c r="A18" s="861">
        <f t="shared" si="0"/>
        <v>14</v>
      </c>
      <c r="B18" s="976" t="s">
        <v>542</v>
      </c>
      <c r="C18" s="974" t="s">
        <v>826</v>
      </c>
      <c r="D18" s="977">
        <f>D16-D17</f>
        <v>-13264.460287780763</v>
      </c>
      <c r="E18" s="977">
        <f>E16-E17</f>
        <v>106902.88357515089</v>
      </c>
      <c r="F18" s="977">
        <f>F16-F17</f>
        <v>169101.54634226812</v>
      </c>
      <c r="G18" s="977">
        <f>G16-G17</f>
        <v>222422.20620930122</v>
      </c>
      <c r="H18" s="977">
        <f>H16-H17</f>
        <v>268653.9606923204</v>
      </c>
      <c r="I18" s="978">
        <f t="shared" si="1"/>
        <v>753816.1365312599</v>
      </c>
      <c r="J18" s="859"/>
      <c r="K18" s="48"/>
      <c r="L18" s="1028"/>
    </row>
    <row r="19" spans="1:12" ht="21.75" customHeight="1">
      <c r="A19" s="854">
        <f t="shared" si="0"/>
        <v>15</v>
      </c>
      <c r="B19" s="855" t="s">
        <v>827</v>
      </c>
      <c r="C19" s="856" t="s">
        <v>828</v>
      </c>
      <c r="D19" s="965">
        <f>'%5'!I8</f>
        <v>0</v>
      </c>
      <c r="E19" s="965">
        <f>'%5'!J8</f>
        <v>100000</v>
      </c>
      <c r="F19" s="965">
        <f>'%5'!K8</f>
        <v>100000</v>
      </c>
      <c r="G19" s="965">
        <f>'%5'!L8</f>
        <v>100000</v>
      </c>
      <c r="H19" s="965">
        <f>'%5'!M8</f>
        <v>30000</v>
      </c>
      <c r="I19" s="508">
        <f t="shared" si="1"/>
        <v>330000</v>
      </c>
      <c r="J19" s="859"/>
      <c r="K19" s="48"/>
      <c r="L19" s="1028"/>
    </row>
    <row r="20" spans="1:12" ht="21.75" customHeight="1">
      <c r="A20" s="854">
        <f t="shared" si="0"/>
        <v>16</v>
      </c>
      <c r="B20" s="855" t="s">
        <v>178</v>
      </c>
      <c r="C20" s="856" t="s">
        <v>899</v>
      </c>
      <c r="D20" s="964">
        <v>0</v>
      </c>
      <c r="E20" s="964">
        <f>'%1'!I16</f>
        <v>29992.65139726027</v>
      </c>
      <c r="F20" s="964">
        <v>0</v>
      </c>
      <c r="G20" s="964">
        <v>0</v>
      </c>
      <c r="H20" s="964">
        <v>0</v>
      </c>
      <c r="I20" s="867">
        <f t="shared" si="1"/>
        <v>29992.65139726027</v>
      </c>
      <c r="J20" s="859"/>
      <c r="K20" s="48"/>
      <c r="L20" s="1028"/>
    </row>
    <row r="21" spans="1:12" ht="21.75" customHeight="1">
      <c r="A21" s="861">
        <f>A20+1</f>
        <v>17</v>
      </c>
      <c r="B21" s="868" t="s">
        <v>832</v>
      </c>
      <c r="C21" s="856" t="s">
        <v>900</v>
      </c>
      <c r="D21" s="863">
        <f>D18+D15-D19</f>
        <v>0</v>
      </c>
      <c r="E21" s="863">
        <f>E15+E18-E19-E20</f>
        <v>67165.38741102284</v>
      </c>
      <c r="F21" s="863">
        <f>F15+F18-F19-F20</f>
        <v>126842.39788591064</v>
      </c>
      <c r="G21" s="863">
        <f>G15+G18-G19-G20</f>
        <v>161032.30619689962</v>
      </c>
      <c r="H21" s="863">
        <f>H15+H18-H19-H20</f>
        <v>265613.2157012266</v>
      </c>
      <c r="I21" s="960">
        <f>SUM(D21:H21)</f>
        <v>620653.3071950597</v>
      </c>
      <c r="J21" s="859"/>
      <c r="K21" s="48"/>
      <c r="L21" s="1028"/>
    </row>
    <row r="22" spans="2:12" ht="6.75" customHeight="1">
      <c r="B22" s="91"/>
      <c r="C22" s="91"/>
      <c r="D22" s="91"/>
      <c r="E22" s="91"/>
      <c r="F22" s="91"/>
      <c r="G22" s="91"/>
      <c r="H22" s="91"/>
      <c r="I22" s="106"/>
      <c r="J22" s="859"/>
      <c r="K22" s="48"/>
      <c r="L22" s="1029"/>
    </row>
    <row r="23" spans="1:12" ht="44.25" customHeight="1">
      <c r="A23" s="854">
        <f>A21+1</f>
        <v>18</v>
      </c>
      <c r="B23" s="1003" t="s">
        <v>189</v>
      </c>
      <c r="C23" s="856" t="s">
        <v>829</v>
      </c>
      <c r="D23" s="1004">
        <f aca="true" t="shared" si="2" ref="D23:I23">(D15+D18)/(D11+D19)</f>
        <v>0</v>
      </c>
      <c r="E23" s="1004">
        <f t="shared" si="2"/>
        <v>1.1583903572754588</v>
      </c>
      <c r="F23" s="1004">
        <f t="shared" si="2"/>
        <v>1.5515895888229183</v>
      </c>
      <c r="G23" s="1004">
        <f t="shared" si="2"/>
        <v>2.136107252020455</v>
      </c>
      <c r="H23" s="1004">
        <f t="shared" si="2"/>
        <v>9.296013072365616</v>
      </c>
      <c r="I23" s="1004">
        <f t="shared" si="2"/>
        <v>1.9597529177417676</v>
      </c>
      <c r="J23" s="859"/>
      <c r="K23" s="48"/>
      <c r="L23" s="1028"/>
    </row>
    <row r="24" spans="1:12" ht="18" customHeight="1">
      <c r="A24" s="462"/>
      <c r="C24" s="219"/>
      <c r="D24" s="869"/>
      <c r="E24" s="870"/>
      <c r="F24" s="221"/>
      <c r="G24" s="221"/>
      <c r="H24" s="221"/>
      <c r="I24" s="871" t="s">
        <v>830</v>
      </c>
      <c r="J24" s="859"/>
      <c r="K24" s="106"/>
      <c r="L24" s="212"/>
    </row>
    <row r="25" spans="1:12" ht="45" customHeight="1">
      <c r="A25" s="346"/>
      <c r="B25" s="346"/>
      <c r="C25" s="346"/>
      <c r="D25" s="346"/>
      <c r="E25" s="346"/>
      <c r="F25" s="346"/>
      <c r="G25" s="346"/>
      <c r="H25" s="346"/>
      <c r="I25" s="346"/>
      <c r="J25" s="859"/>
      <c r="K25" s="106"/>
      <c r="L25" s="212"/>
    </row>
    <row r="26" spans="1:12" ht="45" customHeight="1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L26" s="212"/>
    </row>
    <row r="28" spans="2:12" ht="24" customHeight="1">
      <c r="B28" s="961" t="s">
        <v>327</v>
      </c>
      <c r="D28" s="863">
        <f>КЕШ!D29</f>
        <v>2.9103830456733704E-11</v>
      </c>
      <c r="E28" s="863">
        <f>КЕШ!E29</f>
        <v>67165.38741102278</v>
      </c>
      <c r="F28" s="863">
        <f>КЕШ!F29</f>
        <v>126842.39788591076</v>
      </c>
      <c r="G28" s="863">
        <f>КЕШ!G29</f>
        <v>161032.30619689968</v>
      </c>
      <c r="H28" s="863">
        <f>КЕШ!H29</f>
        <v>265613.21570122667</v>
      </c>
      <c r="I28" s="960">
        <f>SUM(D28:H28)</f>
        <v>620653.30719506</v>
      </c>
      <c r="J28" s="963">
        <f>I21-I28</f>
        <v>0</v>
      </c>
      <c r="K28" s="962"/>
      <c r="L28" s="420" t="s">
        <v>664</v>
      </c>
    </row>
  </sheetData>
  <sheetProtection/>
  <mergeCells count="6">
    <mergeCell ref="O4:P4"/>
    <mergeCell ref="O3:P3"/>
    <mergeCell ref="A1:I1"/>
    <mergeCell ref="A3:A4"/>
    <mergeCell ref="B3:B4"/>
    <mergeCell ref="C3:C4"/>
  </mergeCells>
  <printOptions verticalCentered="1"/>
  <pageMargins left="0.29" right="0.66" top="0.88" bottom="0.34" header="0.5118110236220472" footer="0.3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2"/>
  <sheetViews>
    <sheetView showGridLines="0" showOutlineSymbols="0" zoomScalePageLayoutView="0" workbookViewId="0" topLeftCell="A1">
      <pane xSplit="1" ySplit="3" topLeftCell="B58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65" sqref="C65"/>
    </sheetView>
  </sheetViews>
  <sheetFormatPr defaultColWidth="9.00390625" defaultRowHeight="12.75" outlineLevelRow="2"/>
  <cols>
    <col min="1" max="1" width="57.00390625" style="989" customWidth="1"/>
    <col min="2" max="6" width="15.75390625" style="912" customWidth="1"/>
    <col min="7" max="7" width="16.75390625" style="913" customWidth="1"/>
    <col min="8" max="8" width="1.37890625" style="913" customWidth="1"/>
    <col min="9" max="9" width="6.75390625" style="912" customWidth="1"/>
    <col min="10" max="10" width="41.75390625" style="912" bestFit="1" customWidth="1"/>
    <col min="11" max="16384" width="9.125" style="912" customWidth="1"/>
  </cols>
  <sheetData>
    <row r="1" spans="1:8" ht="20.25">
      <c r="A1" s="1304" t="s">
        <v>797</v>
      </c>
      <c r="B1" s="1304"/>
      <c r="C1" s="1304"/>
      <c r="D1" s="1304"/>
      <c r="E1" s="1304"/>
      <c r="F1" s="1304"/>
      <c r="G1" s="1304"/>
      <c r="H1" s="911"/>
    </row>
    <row r="2" spans="1:8" ht="20.25">
      <c r="A2" s="981"/>
      <c r="B2" s="910"/>
      <c r="C2" s="910"/>
      <c r="D2" s="910"/>
      <c r="E2" s="910"/>
      <c r="F2" s="910"/>
      <c r="G2" s="381" t="s">
        <v>798</v>
      </c>
      <c r="H2" s="911"/>
    </row>
    <row r="3" spans="1:10" s="917" customFormat="1" ht="31.5">
      <c r="A3" s="982" t="s">
        <v>90</v>
      </c>
      <c r="B3" s="919" t="s">
        <v>232</v>
      </c>
      <c r="C3" s="919" t="s">
        <v>233</v>
      </c>
      <c r="D3" s="919" t="s">
        <v>234</v>
      </c>
      <c r="E3" s="919" t="s">
        <v>235</v>
      </c>
      <c r="F3" s="919" t="s">
        <v>236</v>
      </c>
      <c r="G3" s="918" t="s">
        <v>91</v>
      </c>
      <c r="H3" s="911"/>
      <c r="I3" s="991">
        <v>0.05</v>
      </c>
      <c r="J3" s="972" t="s">
        <v>93</v>
      </c>
    </row>
    <row r="4" spans="1:9" ht="28.5" outlineLevel="1">
      <c r="A4" s="983" t="s">
        <v>70</v>
      </c>
      <c r="B4" s="920">
        <v>0</v>
      </c>
      <c r="C4" s="920">
        <f>ТЕО!C18</f>
        <v>60</v>
      </c>
      <c r="D4" s="920">
        <f>C4*(1+$I$3)</f>
        <v>63</v>
      </c>
      <c r="E4" s="920">
        <f>D4*(1+$I$3)</f>
        <v>66.15</v>
      </c>
      <c r="F4" s="920">
        <f>E4*(1+$I$3)</f>
        <v>69.45750000000001</v>
      </c>
      <c r="G4" s="999"/>
      <c r="H4" s="911"/>
      <c r="I4" s="990"/>
    </row>
    <row r="5" spans="1:9" ht="15.75" outlineLevel="1">
      <c r="A5" s="992" t="s">
        <v>21</v>
      </c>
      <c r="B5" s="993">
        <v>0</v>
      </c>
      <c r="C5" s="993">
        <f>ТЕО!C19</f>
        <v>2000</v>
      </c>
      <c r="D5" s="993">
        <f>C5</f>
        <v>2000</v>
      </c>
      <c r="E5" s="993">
        <v>2000</v>
      </c>
      <c r="F5" s="993">
        <v>2000</v>
      </c>
      <c r="G5" s="1000">
        <f>SUM(B5:F5)</f>
        <v>8000</v>
      </c>
      <c r="H5" s="911"/>
      <c r="I5" s="990"/>
    </row>
    <row r="6" spans="1:9" ht="28.5" outlineLevel="1">
      <c r="A6" s="983" t="s">
        <v>71</v>
      </c>
      <c r="B6" s="920">
        <v>0</v>
      </c>
      <c r="C6" s="920">
        <f>ТЕО!C20</f>
        <v>50</v>
      </c>
      <c r="D6" s="920">
        <f>C6*(1+$I$3)</f>
        <v>52.5</v>
      </c>
      <c r="E6" s="920">
        <f>D6*(1+$I$3)</f>
        <v>55.125</v>
      </c>
      <c r="F6" s="920">
        <f>E6*(1+$I$3)</f>
        <v>57.88125</v>
      </c>
      <c r="G6" s="999"/>
      <c r="H6" s="911"/>
      <c r="I6" s="990"/>
    </row>
    <row r="7" spans="1:9" ht="15.75" collapsed="1">
      <c r="A7" s="992" t="s">
        <v>22</v>
      </c>
      <c r="B7" s="993">
        <v>0</v>
      </c>
      <c r="C7" s="993">
        <f>ТЕО!C21</f>
        <v>1200</v>
      </c>
      <c r="D7" s="993">
        <f>C7</f>
        <v>1200</v>
      </c>
      <c r="E7" s="993">
        <v>1200</v>
      </c>
      <c r="F7" s="993">
        <v>1200</v>
      </c>
      <c r="G7" s="1000">
        <f>SUM(B7:F7)</f>
        <v>4800</v>
      </c>
      <c r="H7" s="911"/>
      <c r="I7" s="990"/>
    </row>
    <row r="8" spans="1:9" ht="28.5" outlineLevel="1">
      <c r="A8" s="983" t="s">
        <v>89</v>
      </c>
      <c r="B8" s="920">
        <v>0</v>
      </c>
      <c r="C8" s="920">
        <f>ТЕО!C22</f>
        <v>5</v>
      </c>
      <c r="D8" s="920">
        <f>C8*(1+$I$3)</f>
        <v>5.25</v>
      </c>
      <c r="E8" s="920">
        <f>D8*(1+$I$3)</f>
        <v>5.5125</v>
      </c>
      <c r="F8" s="920">
        <f>E8*(1+$I$3)</f>
        <v>5.788125000000001</v>
      </c>
      <c r="G8" s="999"/>
      <c r="H8" s="911"/>
      <c r="I8" s="990"/>
    </row>
    <row r="9" spans="1:9" ht="28.5" outlineLevel="1">
      <c r="A9" s="992" t="s">
        <v>56</v>
      </c>
      <c r="B9" s="993">
        <v>0</v>
      </c>
      <c r="C9" s="993">
        <f>ТЕО!C23</f>
        <v>10000</v>
      </c>
      <c r="D9" s="993">
        <f>C9</f>
        <v>10000</v>
      </c>
      <c r="E9" s="993">
        <v>10000</v>
      </c>
      <c r="F9" s="993">
        <v>10000</v>
      </c>
      <c r="G9" s="1000">
        <f>SUM(B9:F9)</f>
        <v>40000</v>
      </c>
      <c r="H9" s="911"/>
      <c r="I9" s="990"/>
    </row>
    <row r="10" spans="1:9" ht="15.75" collapsed="1">
      <c r="A10" s="983" t="s">
        <v>57</v>
      </c>
      <c r="B10" s="920">
        <v>0</v>
      </c>
      <c r="C10" s="920">
        <f>ТЕО!C24</f>
        <v>30</v>
      </c>
      <c r="D10" s="920">
        <f>C10*(1+$I$3)</f>
        <v>31.5</v>
      </c>
      <c r="E10" s="920">
        <f>D10*(1+$I$3)</f>
        <v>33.075</v>
      </c>
      <c r="F10" s="920">
        <f>E10*(1+$I$3)</f>
        <v>34.728750000000005</v>
      </c>
      <c r="G10" s="999"/>
      <c r="H10" s="911"/>
      <c r="I10" s="990"/>
    </row>
    <row r="11" spans="1:9" ht="28.5" outlineLevel="1">
      <c r="A11" s="992" t="s">
        <v>24</v>
      </c>
      <c r="B11" s="993">
        <v>0</v>
      </c>
      <c r="C11" s="993">
        <f>ТЕО!C25</f>
        <v>10000</v>
      </c>
      <c r="D11" s="993">
        <f>C11</f>
        <v>10000</v>
      </c>
      <c r="E11" s="993">
        <v>10000</v>
      </c>
      <c r="F11" s="993">
        <v>10000</v>
      </c>
      <c r="G11" s="1000">
        <f>SUM(B11:F11)</f>
        <v>40000</v>
      </c>
      <c r="H11" s="911"/>
      <c r="I11" s="990"/>
    </row>
    <row r="12" spans="1:9" ht="28.5" outlineLevel="1">
      <c r="A12" s="983" t="s">
        <v>116</v>
      </c>
      <c r="B12" s="920">
        <v>0</v>
      </c>
      <c r="C12" s="920">
        <f>ТЕО!C26</f>
        <v>5</v>
      </c>
      <c r="D12" s="920">
        <f>C12*(1+$I$3)</f>
        <v>5.25</v>
      </c>
      <c r="E12" s="920">
        <f>D12*(1+$I$3)</f>
        <v>5.5125</v>
      </c>
      <c r="F12" s="920">
        <f>E12*(1+$I$3)</f>
        <v>5.788125000000001</v>
      </c>
      <c r="G12" s="999"/>
      <c r="H12" s="911"/>
      <c r="I12" s="990"/>
    </row>
    <row r="13" spans="1:9" ht="28.5" outlineLevel="1">
      <c r="A13" s="992" t="s">
        <v>23</v>
      </c>
      <c r="B13" s="993">
        <v>0</v>
      </c>
      <c r="C13" s="993">
        <f>ТЕО!C27</f>
        <v>700</v>
      </c>
      <c r="D13" s="993">
        <f>C13</f>
        <v>700</v>
      </c>
      <c r="E13" s="993">
        <v>700</v>
      </c>
      <c r="F13" s="993">
        <v>700</v>
      </c>
      <c r="G13" s="1000">
        <f>SUM(B13:F13)</f>
        <v>2800</v>
      </c>
      <c r="H13" s="911"/>
      <c r="I13" s="990"/>
    </row>
    <row r="14" spans="1:9" ht="15.75" outlineLevel="1">
      <c r="A14" s="983" t="s">
        <v>66</v>
      </c>
      <c r="B14" s="920">
        <v>0</v>
      </c>
      <c r="C14" s="920">
        <f>ТЕО!C28</f>
        <v>0.2</v>
      </c>
      <c r="D14" s="920">
        <f>C14*(1+$I$3)</f>
        <v>0.21000000000000002</v>
      </c>
      <c r="E14" s="920">
        <f>D14*(1+$I$3)</f>
        <v>0.22050000000000003</v>
      </c>
      <c r="F14" s="920">
        <f>E14*(1+$I$3)</f>
        <v>0.23152500000000004</v>
      </c>
      <c r="G14" s="999"/>
      <c r="H14" s="911"/>
      <c r="I14" s="990"/>
    </row>
    <row r="15" spans="1:9" ht="15.75" collapsed="1">
      <c r="A15" s="992" t="s">
        <v>67</v>
      </c>
      <c r="B15" s="993">
        <v>0</v>
      </c>
      <c r="C15" s="993">
        <f>ТЕО!C29</f>
        <v>100000</v>
      </c>
      <c r="D15" s="993">
        <f>C15</f>
        <v>100000</v>
      </c>
      <c r="E15" s="993">
        <v>100000</v>
      </c>
      <c r="F15" s="993">
        <v>100000</v>
      </c>
      <c r="G15" s="1000">
        <f aca="true" t="shared" si="0" ref="G15:G22">SUM(B15:F15)</f>
        <v>400000</v>
      </c>
      <c r="H15" s="911"/>
      <c r="I15" s="990"/>
    </row>
    <row r="16" spans="1:9" ht="28.5">
      <c r="A16" s="992" t="s">
        <v>173</v>
      </c>
      <c r="B16" s="993">
        <v>0</v>
      </c>
      <c r="C16" s="993">
        <f>ТЕО!C32</f>
        <v>260796</v>
      </c>
      <c r="D16" s="993">
        <f>C16*(1+$I$3)</f>
        <v>273835.8</v>
      </c>
      <c r="E16" s="993">
        <f>D16*(1+$I$3)</f>
        <v>287527.59</v>
      </c>
      <c r="F16" s="993">
        <f>E16*(1+$I$3)</f>
        <v>301903.96950000006</v>
      </c>
      <c r="G16" s="1000">
        <f t="shared" si="0"/>
        <v>1124063.3595000003</v>
      </c>
      <c r="H16" s="911"/>
      <c r="I16" s="990"/>
    </row>
    <row r="17" spans="1:9" ht="27" customHeight="1">
      <c r="A17" s="980" t="s">
        <v>182</v>
      </c>
      <c r="B17" s="923">
        <v>0</v>
      </c>
      <c r="C17" s="923">
        <f>C4*C5+C6*C7+C8*C9+C10*C11+C12*C13+C14*C15+C16</f>
        <v>814296</v>
      </c>
      <c r="D17" s="923">
        <f>D4*D5+D6*D7+D8*D9+D10*D11+D12*D13+D14*D15+D16</f>
        <v>855010.8</v>
      </c>
      <c r="E17" s="923">
        <f>E4*E5+E6*E7+E8*E9+E10*E11+E12*E13+E14*E15+E16</f>
        <v>897761.3400000001</v>
      </c>
      <c r="F17" s="923">
        <f>F4*F5+F6*F7+F8*F9+F10*F11+F12*F13+F14*F15+F16</f>
        <v>942649.4070000001</v>
      </c>
      <c r="G17" s="923">
        <f t="shared" si="0"/>
        <v>3509717.5470000003</v>
      </c>
      <c r="H17" s="911"/>
      <c r="I17" s="990"/>
    </row>
    <row r="18" spans="1:9" ht="15.75">
      <c r="A18" s="984" t="s">
        <v>316</v>
      </c>
      <c r="B18" s="920">
        <f>B17/6</f>
        <v>0</v>
      </c>
      <c r="C18" s="920">
        <f>C17/6</f>
        <v>135716</v>
      </c>
      <c r="D18" s="920">
        <f>D17/6</f>
        <v>142501.80000000002</v>
      </c>
      <c r="E18" s="920">
        <f>E17/6</f>
        <v>149626.89</v>
      </c>
      <c r="F18" s="920">
        <f>F17/6</f>
        <v>157108.23450000002</v>
      </c>
      <c r="G18" s="998">
        <f t="shared" si="0"/>
        <v>584952.9245000001</v>
      </c>
      <c r="H18" s="911"/>
      <c r="I18" s="990"/>
    </row>
    <row r="19" spans="1:9" ht="15.75">
      <c r="A19" s="994" t="s">
        <v>203</v>
      </c>
      <c r="B19" s="923">
        <f>B17-B18</f>
        <v>0</v>
      </c>
      <c r="C19" s="923">
        <f>C17-C18</f>
        <v>678580</v>
      </c>
      <c r="D19" s="923">
        <f>D17-D18</f>
        <v>712509</v>
      </c>
      <c r="E19" s="923">
        <f>E17-E18</f>
        <v>748134.4500000001</v>
      </c>
      <c r="F19" s="923">
        <f>F17-F18</f>
        <v>785541.1725000001</v>
      </c>
      <c r="G19" s="923">
        <f t="shared" si="0"/>
        <v>2924764.6225000005</v>
      </c>
      <c r="H19" s="911"/>
      <c r="I19" s="990"/>
    </row>
    <row r="20" spans="1:9" ht="15.75">
      <c r="A20" s="915" t="s">
        <v>204</v>
      </c>
      <c r="B20" s="920">
        <f>ВИТ!B11</f>
        <v>0</v>
      </c>
      <c r="C20" s="920">
        <f>ВИТ!C11</f>
        <v>146211.66666666666</v>
      </c>
      <c r="D20" s="920">
        <f>ВИТ!D11</f>
        <v>149135.9</v>
      </c>
      <c r="E20" s="920">
        <f>ВИТ!E11</f>
        <v>152118.61800000002</v>
      </c>
      <c r="F20" s="920">
        <f>ВИТ!F11</f>
        <v>155160.99036000003</v>
      </c>
      <c r="G20" s="998">
        <f t="shared" si="0"/>
        <v>602627.1750266667</v>
      </c>
      <c r="H20" s="911"/>
      <c r="I20" s="990"/>
    </row>
    <row r="21" spans="1:9" ht="15.75">
      <c r="A21" s="915" t="s">
        <v>205</v>
      </c>
      <c r="B21" s="920">
        <f>ВИТ!B18</f>
        <v>0</v>
      </c>
      <c r="C21" s="920">
        <f>ВИТ!C18</f>
        <v>229376</v>
      </c>
      <c r="D21" s="920">
        <f>ВИТ!D18</f>
        <v>233963.52</v>
      </c>
      <c r="E21" s="920">
        <f>ВИТ!E18</f>
        <v>238642.7904</v>
      </c>
      <c r="F21" s="920">
        <f>ВИТ!F18</f>
        <v>243415.646208</v>
      </c>
      <c r="G21" s="998">
        <f t="shared" si="0"/>
        <v>945397.9566080001</v>
      </c>
      <c r="H21" s="911"/>
      <c r="I21" s="990"/>
    </row>
    <row r="22" spans="1:9" ht="15.75">
      <c r="A22" s="980" t="s">
        <v>206</v>
      </c>
      <c r="B22" s="923">
        <f>B20+B21</f>
        <v>0</v>
      </c>
      <c r="C22" s="923">
        <f>C20+C21</f>
        <v>375587.6666666666</v>
      </c>
      <c r="D22" s="923">
        <f>D20+D21</f>
        <v>383099.42</v>
      </c>
      <c r="E22" s="923">
        <f>E20+E21</f>
        <v>390761.4084</v>
      </c>
      <c r="F22" s="923">
        <f>F20+F21</f>
        <v>398576.636568</v>
      </c>
      <c r="G22" s="923">
        <f t="shared" si="0"/>
        <v>1548025.1316346668</v>
      </c>
      <c r="H22" s="911"/>
      <c r="I22" s="990"/>
    </row>
    <row r="23" spans="1:9" ht="15.75">
      <c r="A23" s="985" t="s">
        <v>207</v>
      </c>
      <c r="B23" s="920">
        <f>'%5'!I14</f>
        <v>29992.65139726027</v>
      </c>
      <c r="C23" s="920">
        <f>'%5'!J14</f>
        <v>70200</v>
      </c>
      <c r="D23" s="920">
        <f>'%5'!K14</f>
        <v>46200</v>
      </c>
      <c r="E23" s="920">
        <f>'%5'!L14</f>
        <v>22200</v>
      </c>
      <c r="F23" s="920">
        <f>'%5'!M14</f>
        <v>1800</v>
      </c>
      <c r="G23" s="998">
        <f aca="true" t="shared" si="1" ref="G23:G29">SUM(B23:F23)</f>
        <v>170392.65139726026</v>
      </c>
      <c r="H23" s="911"/>
      <c r="I23" s="990"/>
    </row>
    <row r="24" spans="1:9" ht="15.75">
      <c r="A24" s="985" t="s">
        <v>208</v>
      </c>
      <c r="B24" s="920">
        <f>АМ!C26</f>
        <v>13264.460287780763</v>
      </c>
      <c r="C24" s="920">
        <f>АМ!D26</f>
        <v>90255.1552331322</v>
      </c>
      <c r="D24" s="920">
        <f>АМ!E26</f>
        <v>57740.85154364251</v>
      </c>
      <c r="E24" s="920">
        <f>АМ!F26</f>
        <v>38610.09998759841</v>
      </c>
      <c r="F24" s="920">
        <f>АМ!G26</f>
        <v>26959.255008906206</v>
      </c>
      <c r="G24" s="998">
        <f t="shared" si="1"/>
        <v>226829.82206106008</v>
      </c>
      <c r="H24" s="911"/>
      <c r="I24" s="990"/>
    </row>
    <row r="25" spans="1:9" ht="15.75">
      <c r="A25" s="995" t="s">
        <v>240</v>
      </c>
      <c r="B25" s="996">
        <f>B19-B22-B24</f>
        <v>-13264.460287780763</v>
      </c>
      <c r="C25" s="996">
        <f>C19-C22-C23-C24</f>
        <v>142537.17810020118</v>
      </c>
      <c r="D25" s="996">
        <f>D19-D22-D23-D24</f>
        <v>225468.7284563575</v>
      </c>
      <c r="E25" s="996">
        <f>E19-E22-E23-E24</f>
        <v>296562.9416124016</v>
      </c>
      <c r="F25" s="996">
        <f>F19-F22-F23-F24</f>
        <v>358205.2809230939</v>
      </c>
      <c r="G25" s="996">
        <f>SUM(B25:F25)</f>
        <v>1009509.6688042735</v>
      </c>
      <c r="H25" s="911"/>
      <c r="I25" s="990"/>
    </row>
    <row r="26" spans="1:9" ht="15.75">
      <c r="A26" s="985" t="s">
        <v>209</v>
      </c>
      <c r="B26" s="920">
        <v>0</v>
      </c>
      <c r="C26" s="920">
        <v>0</v>
      </c>
      <c r="D26" s="920">
        <v>0</v>
      </c>
      <c r="E26" s="920">
        <v>0</v>
      </c>
      <c r="F26" s="920">
        <v>0</v>
      </c>
      <c r="G26" s="998">
        <f t="shared" si="1"/>
        <v>0</v>
      </c>
      <c r="H26" s="911"/>
      <c r="I26" s="990"/>
    </row>
    <row r="27" spans="1:9" ht="15.75">
      <c r="A27" s="985" t="s">
        <v>210</v>
      </c>
      <c r="B27" s="920">
        <f>B25-B26</f>
        <v>-13264.460287780763</v>
      </c>
      <c r="C27" s="920">
        <f>C25-C26</f>
        <v>142537.17810020118</v>
      </c>
      <c r="D27" s="920">
        <f>D25-D26</f>
        <v>225468.7284563575</v>
      </c>
      <c r="E27" s="920">
        <f>E25-E26</f>
        <v>296562.9416124016</v>
      </c>
      <c r="F27" s="920">
        <f>F25-F26</f>
        <v>358205.2809230939</v>
      </c>
      <c r="G27" s="998">
        <f>SUM(B27:F27)</f>
        <v>1009509.6688042735</v>
      </c>
      <c r="H27" s="911"/>
      <c r="I27" s="990"/>
    </row>
    <row r="28" spans="1:9" ht="15.75">
      <c r="A28" s="1024" t="s">
        <v>211</v>
      </c>
      <c r="B28" s="1025">
        <f>IF(B27&gt;0,B27*25%,0)</f>
        <v>0</v>
      </c>
      <c r="C28" s="1025">
        <f>IF(C27&gt;0,C27*25%,0)</f>
        <v>35634.294525050296</v>
      </c>
      <c r="D28" s="1025">
        <f>IF(D27&gt;0,D27*25%,0)</f>
        <v>56367.18211408937</v>
      </c>
      <c r="E28" s="1025">
        <f>IF(E27&gt;0,E27*25%,0)</f>
        <v>74140.7354031004</v>
      </c>
      <c r="F28" s="1025">
        <f>IF(F27&gt;0,F27*25%,0)</f>
        <v>89551.32023077348</v>
      </c>
      <c r="G28" s="1026">
        <f>SUM(B28:F28)</f>
        <v>255693.53227301355</v>
      </c>
      <c r="H28" s="911"/>
      <c r="I28" s="990"/>
    </row>
    <row r="29" spans="1:9" ht="15.75">
      <c r="A29" s="980" t="s">
        <v>542</v>
      </c>
      <c r="B29" s="923">
        <f>B27-B28</f>
        <v>-13264.460287780763</v>
      </c>
      <c r="C29" s="923">
        <f>C27-C28</f>
        <v>106902.88357515089</v>
      </c>
      <c r="D29" s="923">
        <f>D27-D28</f>
        <v>169101.54634226812</v>
      </c>
      <c r="E29" s="923">
        <f>E27-E28</f>
        <v>222422.20620930122</v>
      </c>
      <c r="F29" s="923">
        <f>F27-F28</f>
        <v>268653.9606923204</v>
      </c>
      <c r="G29" s="923">
        <f t="shared" si="1"/>
        <v>753816.1365312599</v>
      </c>
      <c r="H29" s="911"/>
      <c r="I29" s="990"/>
    </row>
    <row r="30" spans="1:8" ht="15.75">
      <c r="A30" s="1023"/>
      <c r="B30" s="1023"/>
      <c r="C30" s="1023"/>
      <c r="D30" s="1023"/>
      <c r="E30" s="1023"/>
      <c r="F30" s="1023"/>
      <c r="G30" s="381" t="s">
        <v>799</v>
      </c>
      <c r="H30" s="912"/>
    </row>
    <row r="31" spans="1:8" ht="47.25" customHeight="1">
      <c r="A31" s="1305" t="s">
        <v>183</v>
      </c>
      <c r="B31" s="1305"/>
      <c r="C31" s="1305"/>
      <c r="D31" s="1305"/>
      <c r="E31" s="1305"/>
      <c r="F31" s="1305"/>
      <c r="G31" s="1305"/>
      <c r="H31" s="911"/>
    </row>
    <row r="32" spans="1:9" ht="15.75">
      <c r="A32" s="980" t="s">
        <v>213</v>
      </c>
      <c r="B32" s="923">
        <f>SUM(B33:B36)</f>
        <v>459992.65139726026</v>
      </c>
      <c r="C32" s="923">
        <f>SUM(C33:C36)</f>
        <v>814296</v>
      </c>
      <c r="D32" s="923">
        <f>SUM(D33:D36)</f>
        <v>855010.8</v>
      </c>
      <c r="E32" s="923">
        <f>SUM(E33:E36)</f>
        <v>897761.3400000001</v>
      </c>
      <c r="F32" s="923">
        <f>SUM(F33:F36)</f>
        <v>942649.4070000001</v>
      </c>
      <c r="G32" s="923">
        <f>SUM(B32:F32)</f>
        <v>3969710.1983972606</v>
      </c>
      <c r="H32" s="911"/>
      <c r="I32" s="990"/>
    </row>
    <row r="33" spans="1:9" ht="15.75">
      <c r="A33" s="986" t="s">
        <v>237</v>
      </c>
      <c r="B33" s="920">
        <f>B17</f>
        <v>0</v>
      </c>
      <c r="C33" s="920">
        <f>C17</f>
        <v>814296</v>
      </c>
      <c r="D33" s="920">
        <f>D17</f>
        <v>855010.8</v>
      </c>
      <c r="E33" s="920">
        <f>E17</f>
        <v>897761.3400000001</v>
      </c>
      <c r="F33" s="920">
        <f>F17</f>
        <v>942649.4070000001</v>
      </c>
      <c r="G33" s="998">
        <f aca="true" t="shared" si="2" ref="G33:G61">SUM(B33:F33)</f>
        <v>3509717.5470000003</v>
      </c>
      <c r="H33" s="911"/>
      <c r="I33" s="990"/>
    </row>
    <row r="34" spans="1:9" ht="15.75">
      <c r="A34" s="986" t="s">
        <v>214</v>
      </c>
      <c r="B34" s="920">
        <f>ГРФ!U34</f>
        <v>100000</v>
      </c>
      <c r="C34" s="920">
        <v>0</v>
      </c>
      <c r="D34" s="920">
        <v>0</v>
      </c>
      <c r="E34" s="920">
        <v>0</v>
      </c>
      <c r="F34" s="920">
        <v>0</v>
      </c>
      <c r="G34" s="998">
        <f t="shared" si="2"/>
        <v>100000</v>
      </c>
      <c r="H34" s="911"/>
      <c r="I34" s="990"/>
    </row>
    <row r="35" spans="1:9" ht="15.75">
      <c r="A35" s="986" t="s">
        <v>94</v>
      </c>
      <c r="B35" s="920">
        <f>ГРФ!V34</f>
        <v>330000</v>
      </c>
      <c r="C35" s="920">
        <v>0</v>
      </c>
      <c r="D35" s="920">
        <v>0</v>
      </c>
      <c r="E35" s="920">
        <v>0</v>
      </c>
      <c r="F35" s="920">
        <v>0</v>
      </c>
      <c r="G35" s="998">
        <f t="shared" si="2"/>
        <v>330000</v>
      </c>
      <c r="H35" s="911"/>
      <c r="I35" s="990"/>
    </row>
    <row r="36" spans="1:9" ht="15.75">
      <c r="A36" s="986" t="s">
        <v>95</v>
      </c>
      <c r="B36" s="920">
        <f>'%1'!I16</f>
        <v>29992.65139726027</v>
      </c>
      <c r="C36" s="920">
        <v>0</v>
      </c>
      <c r="D36" s="920">
        <v>0</v>
      </c>
      <c r="E36" s="920">
        <v>0</v>
      </c>
      <c r="F36" s="920">
        <v>0</v>
      </c>
      <c r="G36" s="998">
        <f t="shared" si="2"/>
        <v>29992.65139726027</v>
      </c>
      <c r="H36" s="911"/>
      <c r="I36" s="990"/>
    </row>
    <row r="37" spans="1:9" ht="15.75">
      <c r="A37" s="980" t="s">
        <v>215</v>
      </c>
      <c r="B37" s="923">
        <f>SUM(B38:B51)</f>
        <v>459992.65139726026</v>
      </c>
      <c r="C37" s="923">
        <f>SUM(C38:C51)</f>
        <v>747130.6125889772</v>
      </c>
      <c r="D37" s="923">
        <f>SUM(D38:D51)</f>
        <v>728168.4021140893</v>
      </c>
      <c r="E37" s="923">
        <f>SUM(E38:E51)</f>
        <v>736729.0338031005</v>
      </c>
      <c r="F37" s="923">
        <f>SUM(F38:F51)</f>
        <v>677036.1912987735</v>
      </c>
      <c r="G37" s="923">
        <f>SUM(B37:F37)</f>
        <v>3349056.8912022007</v>
      </c>
      <c r="H37" s="911"/>
      <c r="I37" s="990"/>
    </row>
    <row r="38" spans="1:9" ht="15.75">
      <c r="A38" s="986" t="s">
        <v>216</v>
      </c>
      <c r="B38" s="920">
        <f>ВИТ!B9</f>
        <v>0</v>
      </c>
      <c r="C38" s="920">
        <f>ВИТ!C9</f>
        <v>175454</v>
      </c>
      <c r="D38" s="920">
        <f>ВИТ!D9</f>
        <v>178963.08</v>
      </c>
      <c r="E38" s="920">
        <f>ВИТ!E9</f>
        <v>182542.3416</v>
      </c>
      <c r="F38" s="920">
        <f>ВИТ!F9</f>
        <v>186193.18843200002</v>
      </c>
      <c r="G38" s="998">
        <f t="shared" si="2"/>
        <v>723152.610032</v>
      </c>
      <c r="H38" s="911"/>
      <c r="I38" s="990"/>
    </row>
    <row r="39" spans="1:9" ht="15.75">
      <c r="A39" s="985" t="s">
        <v>217</v>
      </c>
      <c r="B39" s="920">
        <f>ВИТ!B16</f>
        <v>0</v>
      </c>
      <c r="C39" s="920">
        <f>ВИТ!C16</f>
        <v>230376</v>
      </c>
      <c r="D39" s="920">
        <f>ВИТ!D16</f>
        <v>234983.52</v>
      </c>
      <c r="E39" s="920">
        <f>ВИТ!E16</f>
        <v>239683.1904</v>
      </c>
      <c r="F39" s="920">
        <f>ВИТ!F16</f>
        <v>244476.854208</v>
      </c>
      <c r="G39" s="998">
        <f t="shared" si="2"/>
        <v>949519.564608</v>
      </c>
      <c r="H39" s="911"/>
      <c r="I39" s="990"/>
    </row>
    <row r="40" spans="1:9" ht="15.75">
      <c r="A40" s="985" t="s">
        <v>184</v>
      </c>
      <c r="B40" s="920">
        <f>ПДВ!B20</f>
        <v>0</v>
      </c>
      <c r="C40" s="920">
        <f>ПДВ!C20+C28</f>
        <v>141107.96119171695</v>
      </c>
      <c r="D40" s="920">
        <f>ПДВ!D20+D28</f>
        <v>168021.80211408937</v>
      </c>
      <c r="E40" s="920">
        <f>ПДВ!E20+E28</f>
        <v>192303.5018031004</v>
      </c>
      <c r="F40" s="920">
        <f>ПДВ!F20+F28</f>
        <v>214566.1486587735</v>
      </c>
      <c r="G40" s="998">
        <f t="shared" si="2"/>
        <v>715999.4137676803</v>
      </c>
      <c r="H40" s="911"/>
      <c r="I40" s="990"/>
    </row>
    <row r="41" spans="1:9" ht="15.75" hidden="1" outlineLevel="1">
      <c r="A41" s="986" t="s">
        <v>218</v>
      </c>
      <c r="B41" s="920"/>
      <c r="C41" s="920"/>
      <c r="D41" s="920"/>
      <c r="E41" s="920"/>
      <c r="F41" s="920"/>
      <c r="G41" s="998">
        <f t="shared" si="2"/>
        <v>0</v>
      </c>
      <c r="H41" s="911"/>
      <c r="I41" s="990"/>
    </row>
    <row r="42" spans="1:9" ht="15.75" hidden="1" outlineLevel="1">
      <c r="A42" s="986" t="s">
        <v>316</v>
      </c>
      <c r="B42" s="920"/>
      <c r="C42" s="920"/>
      <c r="D42" s="920"/>
      <c r="E42" s="920"/>
      <c r="F42" s="920"/>
      <c r="G42" s="998">
        <f t="shared" si="2"/>
        <v>0</v>
      </c>
      <c r="H42" s="911"/>
      <c r="I42" s="990"/>
    </row>
    <row r="43" spans="1:9" ht="15.75" hidden="1" outlineLevel="2">
      <c r="A43" s="986" t="s">
        <v>219</v>
      </c>
      <c r="B43" s="920"/>
      <c r="C43" s="920"/>
      <c r="D43" s="920"/>
      <c r="E43" s="920"/>
      <c r="F43" s="920"/>
      <c r="G43" s="998">
        <f t="shared" si="2"/>
        <v>0</v>
      </c>
      <c r="H43" s="911"/>
      <c r="I43" s="990"/>
    </row>
    <row r="44" spans="1:9" ht="15.75" hidden="1" outlineLevel="2">
      <c r="A44" s="986" t="s">
        <v>220</v>
      </c>
      <c r="B44" s="920"/>
      <c r="C44" s="920"/>
      <c r="D44" s="920"/>
      <c r="E44" s="920"/>
      <c r="F44" s="920"/>
      <c r="G44" s="998">
        <f t="shared" si="2"/>
        <v>0</v>
      </c>
      <c r="H44" s="911"/>
      <c r="I44" s="990"/>
    </row>
    <row r="45" spans="1:9" ht="15.75" hidden="1" outlineLevel="2">
      <c r="A45" s="986" t="s">
        <v>221</v>
      </c>
      <c r="B45" s="920"/>
      <c r="C45" s="920"/>
      <c r="D45" s="920"/>
      <c r="E45" s="920"/>
      <c r="F45" s="920"/>
      <c r="G45" s="998">
        <f t="shared" si="2"/>
        <v>0</v>
      </c>
      <c r="H45" s="911"/>
      <c r="I45" s="990"/>
    </row>
    <row r="46" spans="1:9" ht="15.75" hidden="1" outlineLevel="2">
      <c r="A46" s="986" t="s">
        <v>222</v>
      </c>
      <c r="B46" s="920"/>
      <c r="C46" s="920"/>
      <c r="D46" s="920"/>
      <c r="E46" s="920"/>
      <c r="F46" s="920"/>
      <c r="G46" s="998">
        <f t="shared" si="2"/>
        <v>0</v>
      </c>
      <c r="H46" s="911"/>
      <c r="I46" s="990"/>
    </row>
    <row r="47" spans="1:9" ht="15.75" collapsed="1">
      <c r="A47" s="987" t="s">
        <v>223</v>
      </c>
      <c r="B47" s="920">
        <f>B23</f>
        <v>29992.65139726027</v>
      </c>
      <c r="C47" s="920">
        <f>C23</f>
        <v>70200</v>
      </c>
      <c r="D47" s="920">
        <f>D23</f>
        <v>46200</v>
      </c>
      <c r="E47" s="920">
        <f>E23</f>
        <v>22200</v>
      </c>
      <c r="F47" s="920">
        <f>F23</f>
        <v>1800</v>
      </c>
      <c r="G47" s="998">
        <f t="shared" si="2"/>
        <v>170392.65139726026</v>
      </c>
      <c r="H47" s="911"/>
      <c r="I47" s="990"/>
    </row>
    <row r="48" spans="1:9" ht="15.75">
      <c r="A48" s="987" t="s">
        <v>224</v>
      </c>
      <c r="B48" s="920">
        <f>B34+B35</f>
        <v>430000</v>
      </c>
      <c r="C48" s="920">
        <v>0</v>
      </c>
      <c r="D48" s="920">
        <v>0</v>
      </c>
      <c r="E48" s="920">
        <v>0</v>
      </c>
      <c r="F48" s="920">
        <v>0</v>
      </c>
      <c r="G48" s="998">
        <f t="shared" si="2"/>
        <v>430000</v>
      </c>
      <c r="H48" s="911"/>
      <c r="I48" s="990"/>
    </row>
    <row r="49" spans="1:9" ht="15.75">
      <c r="A49" s="987" t="s">
        <v>225</v>
      </c>
      <c r="B49" s="920">
        <v>0</v>
      </c>
      <c r="C49" s="920">
        <v>0</v>
      </c>
      <c r="D49" s="920">
        <v>0</v>
      </c>
      <c r="E49" s="920">
        <v>0</v>
      </c>
      <c r="F49" s="920">
        <v>0</v>
      </c>
      <c r="G49" s="998">
        <f t="shared" si="2"/>
        <v>0</v>
      </c>
      <c r="H49" s="911"/>
      <c r="I49" s="990"/>
    </row>
    <row r="50" spans="1:9" ht="15.75">
      <c r="A50" s="987" t="s">
        <v>181</v>
      </c>
      <c r="B50" s="920">
        <f>КЕШ!D26</f>
        <v>0</v>
      </c>
      <c r="C50" s="920">
        <f>КЕШ!E26</f>
        <v>100000</v>
      </c>
      <c r="D50" s="920">
        <f>КЕШ!F26</f>
        <v>100000</v>
      </c>
      <c r="E50" s="920">
        <f>КЕШ!G26</f>
        <v>100000</v>
      </c>
      <c r="F50" s="920">
        <f>КЕШ!H26</f>
        <v>30000</v>
      </c>
      <c r="G50" s="998">
        <f t="shared" si="2"/>
        <v>330000</v>
      </c>
      <c r="H50" s="911"/>
      <c r="I50" s="990"/>
    </row>
    <row r="51" spans="1:9" ht="15.75">
      <c r="A51" s="987" t="s">
        <v>226</v>
      </c>
      <c r="B51" s="920">
        <v>0</v>
      </c>
      <c r="C51" s="920">
        <f>B23</f>
        <v>29992.65139726027</v>
      </c>
      <c r="D51" s="920">
        <v>0</v>
      </c>
      <c r="E51" s="920">
        <v>0</v>
      </c>
      <c r="F51" s="920">
        <v>0</v>
      </c>
      <c r="G51" s="998">
        <f t="shared" si="2"/>
        <v>29992.65139726027</v>
      </c>
      <c r="H51" s="911"/>
      <c r="I51" s="990"/>
    </row>
    <row r="52" spans="1:9" ht="15.75">
      <c r="A52" s="988" t="s">
        <v>227</v>
      </c>
      <c r="B52" s="921"/>
      <c r="C52" s="921"/>
      <c r="D52" s="921"/>
      <c r="E52" s="921"/>
      <c r="F52" s="921"/>
      <c r="G52" s="922"/>
      <c r="H52" s="911"/>
      <c r="I52" s="990"/>
    </row>
    <row r="53" spans="1:9" ht="15.75">
      <c r="A53" s="980" t="s">
        <v>228</v>
      </c>
      <c r="B53" s="923">
        <f>B32-B37</f>
        <v>0</v>
      </c>
      <c r="C53" s="923">
        <f>C32-C37</f>
        <v>67165.38741102279</v>
      </c>
      <c r="D53" s="923">
        <f>D32-D37</f>
        <v>126842.3978859107</v>
      </c>
      <c r="E53" s="923">
        <f>E32-E37</f>
        <v>161032.30619689962</v>
      </c>
      <c r="F53" s="923">
        <f>F32-F37</f>
        <v>265613.2157012266</v>
      </c>
      <c r="G53" s="1007">
        <f>SUM(B53:F53)</f>
        <v>620653.3071950597</v>
      </c>
      <c r="H53" s="911"/>
      <c r="I53" s="990"/>
    </row>
    <row r="54" spans="1:8" ht="36.75" customHeight="1">
      <c r="A54" s="1306" t="s">
        <v>186</v>
      </c>
      <c r="B54" s="1306"/>
      <c r="C54" s="1306"/>
      <c r="D54" s="1306"/>
      <c r="E54" s="1306"/>
      <c r="F54" s="1306"/>
      <c r="G54" s="1306"/>
      <c r="H54" s="911"/>
    </row>
    <row r="55" spans="1:9" ht="15.75">
      <c r="A55" s="987" t="s">
        <v>208</v>
      </c>
      <c r="B55" s="920">
        <f>B24</f>
        <v>13264.460287780763</v>
      </c>
      <c r="C55" s="920">
        <f>C24</f>
        <v>90255.1552331322</v>
      </c>
      <c r="D55" s="920">
        <f>D24</f>
        <v>57740.85154364251</v>
      </c>
      <c r="E55" s="920">
        <f>E24</f>
        <v>38610.09998759841</v>
      </c>
      <c r="F55" s="920">
        <f>F24</f>
        <v>26959.255008906206</v>
      </c>
      <c r="G55" s="998">
        <f t="shared" si="2"/>
        <v>226829.82206106008</v>
      </c>
      <c r="H55" s="911"/>
      <c r="I55" s="990"/>
    </row>
    <row r="56" spans="1:9" ht="15.75">
      <c r="A56" s="987" t="s">
        <v>212</v>
      </c>
      <c r="B56" s="920">
        <f>B29</f>
        <v>-13264.460287780763</v>
      </c>
      <c r="C56" s="920">
        <f>C29</f>
        <v>106902.88357515089</v>
      </c>
      <c r="D56" s="920">
        <f>D29</f>
        <v>169101.54634226812</v>
      </c>
      <c r="E56" s="920">
        <f>E29</f>
        <v>222422.20620930122</v>
      </c>
      <c r="F56" s="920">
        <f>F29</f>
        <v>268653.9606923204</v>
      </c>
      <c r="G56" s="998">
        <f t="shared" si="2"/>
        <v>753816.1365312599</v>
      </c>
      <c r="H56" s="911"/>
      <c r="I56" s="990"/>
    </row>
    <row r="57" spans="1:9" ht="15.75">
      <c r="A57" s="987" t="s">
        <v>229</v>
      </c>
      <c r="B57" s="920">
        <f>B23</f>
        <v>29992.65139726027</v>
      </c>
      <c r="C57" s="920">
        <f>C23</f>
        <v>70200</v>
      </c>
      <c r="D57" s="920">
        <f>D23</f>
        <v>46200</v>
      </c>
      <c r="E57" s="920">
        <f>E23</f>
        <v>22200</v>
      </c>
      <c r="F57" s="920">
        <f>F23</f>
        <v>1800</v>
      </c>
      <c r="G57" s="998">
        <f t="shared" si="2"/>
        <v>170392.65139726026</v>
      </c>
      <c r="H57" s="911"/>
      <c r="I57" s="990"/>
    </row>
    <row r="58" spans="1:9" ht="15.75">
      <c r="A58" s="987" t="s">
        <v>181</v>
      </c>
      <c r="B58" s="920">
        <f>B50</f>
        <v>0</v>
      </c>
      <c r="C58" s="920">
        <f>C50</f>
        <v>100000</v>
      </c>
      <c r="D58" s="920">
        <f>D50</f>
        <v>100000</v>
      </c>
      <c r="E58" s="920">
        <f>E50</f>
        <v>100000</v>
      </c>
      <c r="F58" s="920">
        <f>F50</f>
        <v>30000</v>
      </c>
      <c r="G58" s="998">
        <f t="shared" si="2"/>
        <v>330000</v>
      </c>
      <c r="H58" s="911"/>
      <c r="I58" s="990"/>
    </row>
    <row r="59" spans="1:9" ht="15.75">
      <c r="A59" s="987" t="s">
        <v>176</v>
      </c>
      <c r="B59" s="920">
        <v>0</v>
      </c>
      <c r="C59" s="920">
        <f>B36</f>
        <v>29992.65139726027</v>
      </c>
      <c r="D59" s="920">
        <v>0</v>
      </c>
      <c r="E59" s="920">
        <v>0</v>
      </c>
      <c r="F59" s="920">
        <v>0</v>
      </c>
      <c r="G59" s="998">
        <f t="shared" si="2"/>
        <v>29992.65139726027</v>
      </c>
      <c r="H59" s="911"/>
      <c r="I59" s="990"/>
    </row>
    <row r="60" spans="1:9" ht="15.75">
      <c r="A60" s="1001" t="s">
        <v>230</v>
      </c>
      <c r="B60" s="1002">
        <f>B55+B56</f>
        <v>0</v>
      </c>
      <c r="C60" s="1002">
        <f>C55+C56</f>
        <v>197158.0388082831</v>
      </c>
      <c r="D60" s="1002">
        <f>D55+D56</f>
        <v>226842.39788591064</v>
      </c>
      <c r="E60" s="1002">
        <f>E55+E56</f>
        <v>261032.30619689962</v>
      </c>
      <c r="F60" s="1002">
        <f>F55+F56</f>
        <v>295613.2157012266</v>
      </c>
      <c r="G60" s="1002">
        <f t="shared" si="2"/>
        <v>980645.95859232</v>
      </c>
      <c r="H60" s="911"/>
      <c r="I60" s="990"/>
    </row>
    <row r="61" spans="1:9" ht="15.75">
      <c r="A61" s="1001" t="s">
        <v>185</v>
      </c>
      <c r="B61" s="1002">
        <f>B57+B58+B59</f>
        <v>29992.65139726027</v>
      </c>
      <c r="C61" s="1002">
        <f>C57+C58</f>
        <v>170200</v>
      </c>
      <c r="D61" s="1002">
        <f>D57+D58+D59</f>
        <v>146200</v>
      </c>
      <c r="E61" s="1002">
        <f>E57+E58+E59</f>
        <v>122200</v>
      </c>
      <c r="F61" s="1002">
        <f>F57+F58+F59</f>
        <v>31800</v>
      </c>
      <c r="G61" s="1002">
        <f t="shared" si="2"/>
        <v>500392.65139726026</v>
      </c>
      <c r="H61" s="911"/>
      <c r="I61" s="990"/>
    </row>
    <row r="62" spans="1:9" ht="15.75">
      <c r="A62" s="997" t="s">
        <v>231</v>
      </c>
      <c r="B62" s="1005">
        <f aca="true" t="shared" si="3" ref="B62:G62">B60/B61</f>
        <v>0</v>
      </c>
      <c r="C62" s="1005">
        <f t="shared" si="3"/>
        <v>1.1583903572754588</v>
      </c>
      <c r="D62" s="1005">
        <f t="shared" si="3"/>
        <v>1.5515895888229183</v>
      </c>
      <c r="E62" s="1005">
        <f t="shared" si="3"/>
        <v>2.136107252020455</v>
      </c>
      <c r="F62" s="1005">
        <f t="shared" si="3"/>
        <v>9.296013072365616</v>
      </c>
      <c r="G62" s="1005">
        <f t="shared" si="3"/>
        <v>1.9597529177417676</v>
      </c>
      <c r="H62" s="911"/>
      <c r="I62" s="990"/>
    </row>
    <row r="63" ht="15.75">
      <c r="H63" s="911"/>
    </row>
    <row r="64" ht="15.75">
      <c r="H64" s="911"/>
    </row>
    <row r="65" ht="15.75">
      <c r="H65" s="911"/>
    </row>
    <row r="66" ht="15.75">
      <c r="H66" s="911"/>
    </row>
    <row r="67" ht="15.75">
      <c r="H67" s="911"/>
    </row>
    <row r="68" ht="15.75">
      <c r="H68" s="911"/>
    </row>
    <row r="69" ht="15.75">
      <c r="H69" s="911"/>
    </row>
    <row r="70" ht="15.75">
      <c r="H70" s="911"/>
    </row>
    <row r="71" ht="15.75">
      <c r="H71" s="911"/>
    </row>
    <row r="72" ht="15.75">
      <c r="H72" s="911"/>
    </row>
    <row r="73" ht="15.75">
      <c r="H73" s="911"/>
    </row>
    <row r="74" ht="15.75">
      <c r="H74" s="911"/>
    </row>
    <row r="75" ht="15.75">
      <c r="H75" s="911"/>
    </row>
    <row r="76" ht="15.75">
      <c r="H76" s="911"/>
    </row>
    <row r="77" ht="15.75">
      <c r="H77" s="911"/>
    </row>
    <row r="78" ht="15.75">
      <c r="H78" s="911"/>
    </row>
    <row r="79" ht="15.75">
      <c r="H79" s="911"/>
    </row>
    <row r="80" ht="15.75">
      <c r="H80" s="911"/>
    </row>
    <row r="81" ht="15.75">
      <c r="H81" s="911"/>
    </row>
    <row r="82" ht="15.75">
      <c r="H82" s="911"/>
    </row>
  </sheetData>
  <sheetProtection/>
  <mergeCells count="3">
    <mergeCell ref="A1:G1"/>
    <mergeCell ref="A31:G31"/>
    <mergeCell ref="A54:G54"/>
  </mergeCells>
  <printOptions verticalCentered="1"/>
  <pageMargins left="0" right="0" top="0.6" bottom="0" header="0.6" footer="0.17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T77"/>
  <sheetViews>
    <sheetView showGridLines="0" zoomScale="75" zoomScaleNormal="75" zoomScalePageLayoutView="0" workbookViewId="0" topLeftCell="A27">
      <selection activeCell="L32" sqref="L32"/>
    </sheetView>
  </sheetViews>
  <sheetFormatPr defaultColWidth="14.375" defaultRowHeight="12.75"/>
  <cols>
    <col min="1" max="1" width="5.75390625" style="48" customWidth="1"/>
    <col min="2" max="2" width="41.875" style="48" customWidth="1"/>
    <col min="3" max="3" width="9.75390625" style="48" customWidth="1"/>
    <col min="4" max="8" width="15.875" style="48" customWidth="1"/>
    <col min="9" max="9" width="15.25390625" style="48" customWidth="1"/>
    <col min="10" max="10" width="11.625" style="219" customWidth="1"/>
    <col min="11" max="11" width="4.125" style="224" hidden="1" customWidth="1"/>
    <col min="12" max="12" width="13.375" style="48" customWidth="1"/>
    <col min="13" max="13" width="0.875" style="48" customWidth="1"/>
    <col min="14" max="14" width="10.75390625" style="48" customWidth="1"/>
    <col min="15" max="17" width="14.375" style="48" customWidth="1"/>
    <col min="18" max="18" width="8.625" style="48" customWidth="1"/>
    <col min="19" max="19" width="16.625" style="48" customWidth="1"/>
    <col min="20" max="20" width="8.625" style="48" customWidth="1"/>
    <col min="21" max="16384" width="14.375" style="48" customWidth="1"/>
  </cols>
  <sheetData>
    <row r="1" spans="1:12" s="213" customFormat="1" ht="19.5" customHeight="1">
      <c r="A1" s="1297" t="s">
        <v>800</v>
      </c>
      <c r="B1" s="1297"/>
      <c r="C1" s="1297"/>
      <c r="D1" s="1297"/>
      <c r="E1" s="1297"/>
      <c r="F1" s="1297"/>
      <c r="G1" s="1297"/>
      <c r="H1" s="1297"/>
      <c r="I1" s="1297"/>
      <c r="J1" s="341"/>
      <c r="K1" s="211"/>
      <c r="L1" s="212"/>
    </row>
    <row r="2" spans="1:12" s="213" customFormat="1" ht="19.5" customHeight="1" thickBot="1">
      <c r="A2" s="214"/>
      <c r="B2" s="214"/>
      <c r="C2" s="214"/>
      <c r="D2" s="214"/>
      <c r="E2" s="214"/>
      <c r="F2" s="214"/>
      <c r="G2" s="214"/>
      <c r="H2" s="214"/>
      <c r="I2" s="381" t="s">
        <v>802</v>
      </c>
      <c r="J2" s="342"/>
      <c r="K2" s="211"/>
      <c r="L2" s="212"/>
    </row>
    <row r="3" spans="1:12" s="213" customFormat="1" ht="18" customHeight="1">
      <c r="A3" s="1289" t="s">
        <v>437</v>
      </c>
      <c r="B3" s="1311" t="s">
        <v>423</v>
      </c>
      <c r="C3" s="1312"/>
      <c r="D3" s="215" t="s">
        <v>451</v>
      </c>
      <c r="E3" s="215" t="s">
        <v>452</v>
      </c>
      <c r="F3" s="215" t="s">
        <v>453</v>
      </c>
      <c r="G3" s="215" t="s">
        <v>411</v>
      </c>
      <c r="H3" s="215" t="s">
        <v>412</v>
      </c>
      <c r="I3" s="216" t="s">
        <v>38</v>
      </c>
      <c r="J3" s="342"/>
      <c r="K3" s="342"/>
      <c r="L3" s="212"/>
    </row>
    <row r="4" spans="1:15" s="213" customFormat="1" ht="18" customHeight="1" thickBot="1">
      <c r="A4" s="1290"/>
      <c r="B4" s="1313"/>
      <c r="C4" s="1314"/>
      <c r="D4" s="880" t="s">
        <v>410</v>
      </c>
      <c r="E4" s="880" t="s">
        <v>410</v>
      </c>
      <c r="F4" s="880" t="s">
        <v>410</v>
      </c>
      <c r="G4" s="880" t="s">
        <v>410</v>
      </c>
      <c r="H4" s="880" t="s">
        <v>410</v>
      </c>
      <c r="I4" s="218" t="s">
        <v>516</v>
      </c>
      <c r="J4" s="341"/>
      <c r="L4" s="535">
        <v>0</v>
      </c>
      <c r="O4" s="212"/>
    </row>
    <row r="5" spans="1:19" s="49" customFormat="1" ht="19.5" customHeight="1">
      <c r="A5" s="84">
        <v>1</v>
      </c>
      <c r="B5" s="881" t="s">
        <v>898</v>
      </c>
      <c r="C5" s="882"/>
      <c r="D5" s="942">
        <f>ДОХ!B20*J5</f>
        <v>0</v>
      </c>
      <c r="E5" s="942">
        <f>ДОХ!C20*J5</f>
        <v>814296</v>
      </c>
      <c r="F5" s="942">
        <f>ДОХ!D20*J5</f>
        <v>855010.8</v>
      </c>
      <c r="G5" s="942">
        <f>ДОХ!E20*J5</f>
        <v>897761.3400000001</v>
      </c>
      <c r="H5" s="942">
        <f>ДОХ!F20*J5</f>
        <v>942649.4070000001</v>
      </c>
      <c r="I5" s="943">
        <f aca="true" t="shared" si="0" ref="I5:I30">SUM(D5:H5)</f>
        <v>3509717.5470000003</v>
      </c>
      <c r="J5" s="535">
        <f>100%-L4</f>
        <v>1</v>
      </c>
      <c r="L5" s="153" t="s">
        <v>607</v>
      </c>
      <c r="R5" s="213"/>
      <c r="S5" s="213"/>
    </row>
    <row r="6" spans="1:19" s="49" customFormat="1" ht="19.5" customHeight="1">
      <c r="A6" s="85">
        <f>A5+1</f>
        <v>2</v>
      </c>
      <c r="B6" s="881" t="s">
        <v>424</v>
      </c>
      <c r="C6" s="883"/>
      <c r="D6" s="944">
        <f>СПЦ!D17</f>
        <v>330000</v>
      </c>
      <c r="E6" s="945"/>
      <c r="F6" s="945"/>
      <c r="G6" s="945"/>
      <c r="H6" s="945"/>
      <c r="I6" s="946">
        <f t="shared" si="0"/>
        <v>330000</v>
      </c>
      <c r="J6" s="535">
        <f>100%-J5</f>
        <v>0</v>
      </c>
      <c r="L6" s="212"/>
      <c r="R6" s="213"/>
      <c r="S6" s="213"/>
    </row>
    <row r="7" spans="1:19" s="49" customFormat="1" ht="19.5" customHeight="1">
      <c r="A7" s="85">
        <f>A6+1</f>
        <v>3</v>
      </c>
      <c r="B7" s="881" t="s">
        <v>425</v>
      </c>
      <c r="C7" s="883"/>
      <c r="D7" s="945">
        <v>0</v>
      </c>
      <c r="E7" s="945">
        <v>0</v>
      </c>
      <c r="F7" s="945">
        <v>0</v>
      </c>
      <c r="G7" s="945">
        <v>0</v>
      </c>
      <c r="H7" s="945">
        <v>0</v>
      </c>
      <c r="I7" s="943">
        <f t="shared" si="0"/>
        <v>0</v>
      </c>
      <c r="J7" s="343"/>
      <c r="L7" s="212"/>
      <c r="R7" s="213"/>
      <c r="S7" s="213"/>
    </row>
    <row r="8" spans="1:19" s="49" customFormat="1" ht="19.5" customHeight="1">
      <c r="A8" s="85">
        <f>A7+1</f>
        <v>4</v>
      </c>
      <c r="B8" s="881" t="s">
        <v>491</v>
      </c>
      <c r="C8" s="883"/>
      <c r="D8" s="944">
        <f>ГРФ!U34</f>
        <v>100000</v>
      </c>
      <c r="E8" s="945">
        <v>0</v>
      </c>
      <c r="F8" s="945">
        <v>0</v>
      </c>
      <c r="G8" s="945">
        <v>0</v>
      </c>
      <c r="H8" s="945">
        <v>0</v>
      </c>
      <c r="I8" s="947">
        <f t="shared" si="0"/>
        <v>100000</v>
      </c>
      <c r="J8" s="413">
        <f>I8+I6</f>
        <v>430000</v>
      </c>
      <c r="L8" s="153" t="s">
        <v>895</v>
      </c>
      <c r="R8" s="213"/>
      <c r="S8" s="213"/>
    </row>
    <row r="9" spans="1:19" s="49" customFormat="1" ht="19.5" customHeight="1">
      <c r="A9" s="85">
        <f>A8+1</f>
        <v>5</v>
      </c>
      <c r="B9" s="884" t="s">
        <v>174</v>
      </c>
      <c r="C9" s="885"/>
      <c r="D9" s="948">
        <f>'%1'!I17</f>
        <v>29992.65139726027</v>
      </c>
      <c r="E9" s="949"/>
      <c r="F9" s="949"/>
      <c r="G9" s="949"/>
      <c r="H9" s="949"/>
      <c r="I9" s="947">
        <f>SUM(D9:H9)</f>
        <v>29992.65139726027</v>
      </c>
      <c r="J9" s="413"/>
      <c r="L9" s="153"/>
      <c r="R9" s="213"/>
      <c r="S9" s="213"/>
    </row>
    <row r="10" spans="1:19" s="49" customFormat="1" ht="19.5" customHeight="1">
      <c r="A10" s="85">
        <f>A9+1</f>
        <v>6</v>
      </c>
      <c r="B10" s="886" t="s">
        <v>303</v>
      </c>
      <c r="C10" s="887"/>
      <c r="D10" s="950">
        <f>SUM(D5:D9)</f>
        <v>459992.65139726026</v>
      </c>
      <c r="E10" s="950">
        <f>SUM(E5:E9)</f>
        <v>814296</v>
      </c>
      <c r="F10" s="950">
        <f>SUM(F5:F9)</f>
        <v>855010.8</v>
      </c>
      <c r="G10" s="950">
        <f>SUM(G5:G9)</f>
        <v>897761.3400000001</v>
      </c>
      <c r="H10" s="950">
        <f>SUM(H5:H9)</f>
        <v>942649.4070000001</v>
      </c>
      <c r="I10" s="943">
        <f t="shared" si="0"/>
        <v>3969710.1983972606</v>
      </c>
      <c r="J10" s="343"/>
      <c r="L10" s="212"/>
      <c r="R10" s="213"/>
      <c r="S10" s="213"/>
    </row>
    <row r="11" spans="1:12" s="49" customFormat="1" ht="19.5" customHeight="1">
      <c r="A11" s="85">
        <f aca="true" t="shared" si="1" ref="A11:A31">A10+1</f>
        <v>7</v>
      </c>
      <c r="B11" s="881" t="s">
        <v>426</v>
      </c>
      <c r="C11" s="885"/>
      <c r="D11" s="945">
        <f>ПДВ!B19</f>
        <v>0</v>
      </c>
      <c r="E11" s="945">
        <f>ПДВ!C19</f>
        <v>30242.333333333332</v>
      </c>
      <c r="F11" s="945">
        <f>ПДВ!D19</f>
        <v>30847.180000000004</v>
      </c>
      <c r="G11" s="945">
        <f>ПДВ!E19</f>
        <v>31464.123600000006</v>
      </c>
      <c r="H11" s="945">
        <f>ПДВ!F19</f>
        <v>32093.406072000005</v>
      </c>
      <c r="I11" s="947">
        <f t="shared" si="0"/>
        <v>124647.04300533334</v>
      </c>
      <c r="J11" s="343"/>
      <c r="L11" s="212"/>
    </row>
    <row r="12" spans="1:12" ht="19.5" customHeight="1">
      <c r="A12" s="85">
        <f t="shared" si="1"/>
        <v>8</v>
      </c>
      <c r="B12" s="881" t="s">
        <v>427</v>
      </c>
      <c r="C12" s="888">
        <v>0.1667</v>
      </c>
      <c r="D12" s="945">
        <f>D5/6</f>
        <v>0</v>
      </c>
      <c r="E12" s="945">
        <f>E5/6</f>
        <v>135716</v>
      </c>
      <c r="F12" s="945">
        <f>F5/6</f>
        <v>142501.80000000002</v>
      </c>
      <c r="G12" s="945">
        <f>G5/6</f>
        <v>149626.89</v>
      </c>
      <c r="H12" s="945">
        <f>H5/6</f>
        <v>157108.23450000002</v>
      </c>
      <c r="I12" s="947">
        <f t="shared" si="0"/>
        <v>584952.9245000001</v>
      </c>
      <c r="J12" s="413">
        <f>I12-I11</f>
        <v>460305.88149466674</v>
      </c>
      <c r="K12" s="48"/>
      <c r="L12" s="153" t="s">
        <v>652</v>
      </c>
    </row>
    <row r="13" spans="1:20" ht="19.5" customHeight="1">
      <c r="A13" s="85">
        <f t="shared" si="1"/>
        <v>9</v>
      </c>
      <c r="B13" s="881" t="s">
        <v>326</v>
      </c>
      <c r="C13" s="883"/>
      <c r="D13" s="945">
        <f>ВИТ!B21*J13</f>
        <v>0</v>
      </c>
      <c r="E13" s="945">
        <f>ВИТ!C21*J13</f>
        <v>405830</v>
      </c>
      <c r="F13" s="945">
        <f>ВИТ!D21*J13</f>
        <v>413946.6</v>
      </c>
      <c r="G13" s="945">
        <f>ВИТ!E21*J13</f>
        <v>422225.532</v>
      </c>
      <c r="H13" s="945">
        <f>ВИТ!F21*J13</f>
        <v>430670.04264</v>
      </c>
      <c r="I13" s="947">
        <f t="shared" si="0"/>
        <v>1672672.1746399999</v>
      </c>
      <c r="J13" s="534">
        <v>1</v>
      </c>
      <c r="K13" s="49"/>
      <c r="L13" s="153" t="s">
        <v>608</v>
      </c>
      <c r="S13" s="425">
        <v>129993</v>
      </c>
      <c r="T13" s="1011">
        <f>S13*100%/S15</f>
        <v>0.2825977786618492</v>
      </c>
    </row>
    <row r="14" spans="1:20" ht="19.5" customHeight="1">
      <c r="A14" s="85">
        <f t="shared" si="1"/>
        <v>10</v>
      </c>
      <c r="B14" s="881" t="s">
        <v>515</v>
      </c>
      <c r="C14" s="883"/>
      <c r="D14" s="945">
        <f>'%5'!I14</f>
        <v>29992.65139726027</v>
      </c>
      <c r="E14" s="945">
        <f>'%5'!J14</f>
        <v>70200</v>
      </c>
      <c r="F14" s="945">
        <f>'%5'!K14</f>
        <v>46200</v>
      </c>
      <c r="G14" s="945">
        <f>'%5'!L14</f>
        <v>22200</v>
      </c>
      <c r="H14" s="945">
        <f>'%5'!M14</f>
        <v>1800</v>
      </c>
      <c r="I14" s="947">
        <f t="shared" si="0"/>
        <v>170392.65139726026</v>
      </c>
      <c r="J14" s="344"/>
      <c r="K14" s="48"/>
      <c r="L14" s="212"/>
      <c r="S14" s="425">
        <v>330000</v>
      </c>
      <c r="T14" s="1011">
        <f>S14*100%/S15</f>
        <v>0.7174022213381508</v>
      </c>
    </row>
    <row r="15" spans="1:20" ht="19.5" customHeight="1">
      <c r="A15" s="85">
        <f t="shared" si="1"/>
        <v>11</v>
      </c>
      <c r="B15" s="881" t="s">
        <v>522</v>
      </c>
      <c r="C15" s="889"/>
      <c r="D15" s="945">
        <v>0</v>
      </c>
      <c r="E15" s="945">
        <v>0</v>
      </c>
      <c r="F15" s="945">
        <v>0</v>
      </c>
      <c r="G15" s="945">
        <v>0</v>
      </c>
      <c r="H15" s="945">
        <v>0</v>
      </c>
      <c r="I15" s="947">
        <f t="shared" si="0"/>
        <v>0</v>
      </c>
      <c r="J15" s="344"/>
      <c r="K15" s="48"/>
      <c r="L15" s="212"/>
      <c r="S15" s="425">
        <f>S13+S14</f>
        <v>459993</v>
      </c>
      <c r="T15" s="1011">
        <v>1</v>
      </c>
    </row>
    <row r="16" spans="1:12" ht="19.5" customHeight="1">
      <c r="A16" s="85">
        <f t="shared" si="1"/>
        <v>12</v>
      </c>
      <c r="B16" s="890" t="s">
        <v>434</v>
      </c>
      <c r="C16" s="885"/>
      <c r="D16" s="951">
        <f>D6+D8</f>
        <v>430000</v>
      </c>
      <c r="E16" s="945">
        <v>0</v>
      </c>
      <c r="F16" s="945">
        <v>0</v>
      </c>
      <c r="G16" s="945">
        <v>0</v>
      </c>
      <c r="H16" s="945">
        <v>0</v>
      </c>
      <c r="I16" s="947">
        <f t="shared" si="0"/>
        <v>430000</v>
      </c>
      <c r="J16" s="344"/>
      <c r="K16" s="48"/>
      <c r="L16" s="212"/>
    </row>
    <row r="17" spans="1:12" ht="19.5" customHeight="1">
      <c r="A17" s="85">
        <f t="shared" si="1"/>
        <v>13</v>
      </c>
      <c r="B17" s="881" t="s">
        <v>428</v>
      </c>
      <c r="C17" s="885"/>
      <c r="D17" s="945">
        <f>АМ!C26</f>
        <v>13264.460287780763</v>
      </c>
      <c r="E17" s="945">
        <f>АМ!D26</f>
        <v>90255.1552331322</v>
      </c>
      <c r="F17" s="945">
        <f>АМ!E26</f>
        <v>57740.85154364251</v>
      </c>
      <c r="G17" s="945">
        <f>АМ!F26</f>
        <v>38610.09998759841</v>
      </c>
      <c r="H17" s="945">
        <f>АМ!G26</f>
        <v>26959.255008906206</v>
      </c>
      <c r="I17" s="947">
        <f t="shared" si="0"/>
        <v>226829.82206106008</v>
      </c>
      <c r="J17" s="344"/>
      <c r="K17" s="48"/>
      <c r="L17" s="212"/>
    </row>
    <row r="18" spans="1:19" ht="19.5" customHeight="1">
      <c r="A18" s="85">
        <f t="shared" si="1"/>
        <v>14</v>
      </c>
      <c r="B18" s="886" t="s">
        <v>304</v>
      </c>
      <c r="C18" s="887"/>
      <c r="D18" s="950">
        <f>D12+D13+D14+D15+D16+D17-D11</f>
        <v>473257.111685041</v>
      </c>
      <c r="E18" s="950">
        <f>E12+E13+E14+E15+E16+E17-E11</f>
        <v>671758.8218997988</v>
      </c>
      <c r="F18" s="950">
        <f>F12+F13+F14+F15+F16+F17-F11</f>
        <v>629542.0715436424</v>
      </c>
      <c r="G18" s="950">
        <f>G12+G13+G14+G15+G16+G17-G11</f>
        <v>601198.3983875983</v>
      </c>
      <c r="H18" s="950">
        <f>H12+H13+H14+H15+H16+H17-H11</f>
        <v>584444.1260769062</v>
      </c>
      <c r="I18" s="943">
        <f t="shared" si="0"/>
        <v>2960200.529592987</v>
      </c>
      <c r="J18" s="344"/>
      <c r="K18" s="48"/>
      <c r="S18" s="1010"/>
    </row>
    <row r="19" spans="1:19" ht="19.5" customHeight="1">
      <c r="A19" s="85">
        <f t="shared" si="1"/>
        <v>15</v>
      </c>
      <c r="B19" s="891" t="s">
        <v>305</v>
      </c>
      <c r="C19" s="883"/>
      <c r="D19" s="952">
        <f>D10-D18</f>
        <v>-13264.460287780734</v>
      </c>
      <c r="E19" s="952">
        <f>E10-E18</f>
        <v>142537.17810020118</v>
      </c>
      <c r="F19" s="952">
        <f>F10-F18</f>
        <v>225468.7284563576</v>
      </c>
      <c r="G19" s="952">
        <f>G10-G18</f>
        <v>296562.94161240174</v>
      </c>
      <c r="H19" s="952">
        <f>H10-H18</f>
        <v>358205.2809230939</v>
      </c>
      <c r="I19" s="943">
        <f t="shared" si="0"/>
        <v>1009509.6688042737</v>
      </c>
      <c r="J19" s="344"/>
      <c r="K19" s="48"/>
      <c r="L19" s="212"/>
      <c r="S19" s="1010"/>
    </row>
    <row r="20" spans="1:12" ht="19.5" customHeight="1">
      <c r="A20" s="85">
        <f t="shared" si="1"/>
        <v>16</v>
      </c>
      <c r="B20" s="892" t="s">
        <v>429</v>
      </c>
      <c r="C20" s="893">
        <v>0.25</v>
      </c>
      <c r="D20" s="945">
        <f>IF(D19&gt;0,D19*$C$20,0)</f>
        <v>0</v>
      </c>
      <c r="E20" s="945">
        <f>IF(E19&gt;0,E19*$C$20,0)</f>
        <v>35634.294525050296</v>
      </c>
      <c r="F20" s="945">
        <f>IF(F19&gt;0,F19*$C$20,0)</f>
        <v>56367.1821140894</v>
      </c>
      <c r="G20" s="945">
        <f>IF(G19&gt;0,G19*$C$20,0)</f>
        <v>74140.73540310044</v>
      </c>
      <c r="H20" s="945">
        <f>IF(H19&gt;0,H19*$C$20,0)</f>
        <v>89551.32023077348</v>
      </c>
      <c r="I20" s="947">
        <f t="shared" si="0"/>
        <v>255693.5322730136</v>
      </c>
      <c r="J20" s="413">
        <f>I20</f>
        <v>255693.5322730136</v>
      </c>
      <c r="K20" s="48"/>
      <c r="L20" s="153" t="s">
        <v>653</v>
      </c>
    </row>
    <row r="21" spans="1:12" ht="19.5" customHeight="1">
      <c r="A21" s="85">
        <f t="shared" si="1"/>
        <v>17</v>
      </c>
      <c r="B21" s="891" t="s">
        <v>306</v>
      </c>
      <c r="C21" s="893"/>
      <c r="D21" s="952">
        <f>D19-D20</f>
        <v>-13264.460287780734</v>
      </c>
      <c r="E21" s="952">
        <f>E19-E20</f>
        <v>106902.88357515089</v>
      </c>
      <c r="F21" s="952">
        <f>F19-F20</f>
        <v>169101.5463422682</v>
      </c>
      <c r="G21" s="952">
        <f>G19-G20</f>
        <v>222422.2062093013</v>
      </c>
      <c r="H21" s="952">
        <f>H19-H20</f>
        <v>268653.9606923204</v>
      </c>
      <c r="I21" s="943">
        <f t="shared" si="0"/>
        <v>753816.1365312601</v>
      </c>
      <c r="J21" s="413">
        <f>J12+J20</f>
        <v>715999.4137676803</v>
      </c>
      <c r="K21" s="48"/>
      <c r="L21" s="153" t="s">
        <v>654</v>
      </c>
    </row>
    <row r="22" spans="1:12" ht="19.5" customHeight="1">
      <c r="A22" s="85">
        <f t="shared" si="1"/>
        <v>18</v>
      </c>
      <c r="B22" s="890" t="s">
        <v>606</v>
      </c>
      <c r="C22" s="883"/>
      <c r="D22" s="945">
        <v>0</v>
      </c>
      <c r="E22" s="945">
        <v>0</v>
      </c>
      <c r="F22" s="945">
        <v>0</v>
      </c>
      <c r="G22" s="945">
        <v>0</v>
      </c>
      <c r="H22" s="945">
        <v>0</v>
      </c>
      <c r="I22" s="947">
        <f t="shared" si="0"/>
        <v>0</v>
      </c>
      <c r="J22" s="344"/>
      <c r="K22" s="48"/>
      <c r="L22" s="212"/>
    </row>
    <row r="23" spans="1:12" ht="19.5" customHeight="1">
      <c r="A23" s="85">
        <f t="shared" si="1"/>
        <v>19</v>
      </c>
      <c r="B23" s="886" t="s">
        <v>307</v>
      </c>
      <c r="C23" s="887"/>
      <c r="D23" s="950">
        <f>D18+D20+D22</f>
        <v>473257.111685041</v>
      </c>
      <c r="E23" s="950">
        <f>E18+E20+E22</f>
        <v>707393.1164248491</v>
      </c>
      <c r="F23" s="950">
        <f>F18+F20+F22</f>
        <v>685909.2536577318</v>
      </c>
      <c r="G23" s="950">
        <f>G18+G20+G22</f>
        <v>675339.1337906988</v>
      </c>
      <c r="H23" s="950">
        <f>H18+H20+H22</f>
        <v>673995.4463076796</v>
      </c>
      <c r="I23" s="943">
        <f t="shared" si="0"/>
        <v>3215894.0618660003</v>
      </c>
      <c r="J23" s="344"/>
      <c r="K23" s="48"/>
      <c r="L23" s="212"/>
    </row>
    <row r="24" spans="1:12" ht="19.5" customHeight="1">
      <c r="A24" s="85">
        <f t="shared" si="1"/>
        <v>20</v>
      </c>
      <c r="B24" s="894" t="s">
        <v>308</v>
      </c>
      <c r="C24" s="883"/>
      <c r="D24" s="952">
        <f>D10-D23</f>
        <v>-13264.460287780734</v>
      </c>
      <c r="E24" s="952">
        <f>E10-E23</f>
        <v>106902.88357515086</v>
      </c>
      <c r="F24" s="952">
        <f>F10-F23</f>
        <v>169101.54634226824</v>
      </c>
      <c r="G24" s="952">
        <f>G10-G23</f>
        <v>222422.20620930125</v>
      </c>
      <c r="H24" s="952">
        <f>H10-H23</f>
        <v>268653.9606923205</v>
      </c>
      <c r="I24" s="943">
        <f t="shared" si="0"/>
        <v>753816.1365312601</v>
      </c>
      <c r="J24" s="344"/>
      <c r="K24" s="48"/>
      <c r="L24" s="212"/>
    </row>
    <row r="25" spans="1:12" ht="19.5" customHeight="1">
      <c r="A25" s="85">
        <f t="shared" si="1"/>
        <v>21</v>
      </c>
      <c r="B25" s="881" t="s">
        <v>302</v>
      </c>
      <c r="C25" s="883"/>
      <c r="D25" s="945">
        <f>D17</f>
        <v>13264.460287780763</v>
      </c>
      <c r="E25" s="945">
        <f>E17</f>
        <v>90255.1552331322</v>
      </c>
      <c r="F25" s="945">
        <f>F17</f>
        <v>57740.85154364251</v>
      </c>
      <c r="G25" s="945">
        <f>G17</f>
        <v>38610.09998759841</v>
      </c>
      <c r="H25" s="945">
        <f>H17</f>
        <v>26959.255008906206</v>
      </c>
      <c r="I25" s="947">
        <f t="shared" si="0"/>
        <v>226829.82206106008</v>
      </c>
      <c r="J25" s="344"/>
      <c r="K25" s="48"/>
      <c r="L25" s="212"/>
    </row>
    <row r="26" spans="1:12" ht="19.5" customHeight="1">
      <c r="A26" s="85">
        <f t="shared" si="1"/>
        <v>22</v>
      </c>
      <c r="B26" s="881" t="s">
        <v>430</v>
      </c>
      <c r="C26" s="883"/>
      <c r="D26" s="953">
        <v>0</v>
      </c>
      <c r="E26" s="953">
        <v>100000</v>
      </c>
      <c r="F26" s="953">
        <v>100000</v>
      </c>
      <c r="G26" s="953">
        <v>100000</v>
      </c>
      <c r="H26" s="953">
        <f>D6-SUM(D26:G26)</f>
        <v>30000</v>
      </c>
      <c r="I26" s="946">
        <f t="shared" si="0"/>
        <v>330000</v>
      </c>
      <c r="J26" s="154">
        <f>D6-I26</f>
        <v>0</v>
      </c>
      <c r="K26" s="48"/>
      <c r="L26" s="153" t="s">
        <v>190</v>
      </c>
    </row>
    <row r="27" spans="1:12" ht="19.5" customHeight="1">
      <c r="A27" s="85">
        <f t="shared" si="1"/>
        <v>23</v>
      </c>
      <c r="B27" s="881" t="s">
        <v>492</v>
      </c>
      <c r="C27" s="883"/>
      <c r="D27" s="945">
        <f>D7</f>
        <v>0</v>
      </c>
      <c r="E27" s="945">
        <f>E7</f>
        <v>0</v>
      </c>
      <c r="F27" s="945">
        <f>F7</f>
        <v>0</v>
      </c>
      <c r="G27" s="945">
        <f>G7</f>
        <v>0</v>
      </c>
      <c r="H27" s="945">
        <f>H7</f>
        <v>0</v>
      </c>
      <c r="I27" s="943">
        <f t="shared" si="0"/>
        <v>0</v>
      </c>
      <c r="J27" s="344"/>
      <c r="K27" s="48"/>
      <c r="L27" s="212"/>
    </row>
    <row r="28" spans="1:12" ht="19.5" customHeight="1">
      <c r="A28" s="85">
        <f t="shared" si="1"/>
        <v>24</v>
      </c>
      <c r="B28" s="881" t="s">
        <v>175</v>
      </c>
      <c r="C28" s="885"/>
      <c r="D28" s="949">
        <v>0</v>
      </c>
      <c r="E28" s="949">
        <f>D9</f>
        <v>29992.65139726027</v>
      </c>
      <c r="F28" s="949">
        <v>0</v>
      </c>
      <c r="G28" s="949">
        <v>0</v>
      </c>
      <c r="H28" s="949">
        <v>0</v>
      </c>
      <c r="I28" s="954">
        <f>SUM(D28:H28)</f>
        <v>29992.65139726027</v>
      </c>
      <c r="J28" s="344"/>
      <c r="K28" s="48"/>
      <c r="L28" s="212"/>
    </row>
    <row r="29" spans="1:12" ht="19.5" customHeight="1">
      <c r="A29" s="85">
        <f t="shared" si="1"/>
        <v>25</v>
      </c>
      <c r="B29" s="957" t="s">
        <v>896</v>
      </c>
      <c r="C29" s="465"/>
      <c r="D29" s="466">
        <f>D24+D25-D26-D27-D28</f>
        <v>2.9103830456733704E-11</v>
      </c>
      <c r="E29" s="466">
        <f>E24+E25-E26-E27-E28</f>
        <v>67165.38741102278</v>
      </c>
      <c r="F29" s="466">
        <f>F24+F25-F26-F27-F28</f>
        <v>126842.39788591076</v>
      </c>
      <c r="G29" s="466">
        <f>G24+G25-G26-G27-G28</f>
        <v>161032.30619689968</v>
      </c>
      <c r="H29" s="466">
        <f>H24+H25-H26-H27-H28</f>
        <v>265613.21570122667</v>
      </c>
      <c r="I29" s="940">
        <f t="shared" si="0"/>
        <v>620653.30719506</v>
      </c>
      <c r="J29" s="345"/>
      <c r="K29" s="48"/>
      <c r="L29" s="212"/>
    </row>
    <row r="30" spans="1:12" ht="19.5" customHeight="1">
      <c r="A30" s="86">
        <f t="shared" si="1"/>
        <v>26</v>
      </c>
      <c r="B30" s="891" t="s">
        <v>431</v>
      </c>
      <c r="C30" s="958"/>
      <c r="D30" s="955">
        <f>D29/(1+ЕФ!$E$11)^1</f>
        <v>2.5985562907797948E-11</v>
      </c>
      <c r="E30" s="955">
        <f>E29/(1+ЕФ!$E$11)^2</f>
        <v>53543.83562740973</v>
      </c>
      <c r="F30" s="955">
        <f>F29/(1+ЕФ!$E$11)^3</f>
        <v>90283.91340048083</v>
      </c>
      <c r="G30" s="955">
        <f>G29/(1+ЕФ!$E$11)^4</f>
        <v>102338.94179535208</v>
      </c>
      <c r="H30" s="955">
        <f>H29/(1+ЕФ!$E$11)^5</f>
        <v>150716.07182265312</v>
      </c>
      <c r="I30" s="940">
        <f t="shared" si="0"/>
        <v>396882.76264589577</v>
      </c>
      <c r="J30" s="345"/>
      <c r="K30" s="48"/>
      <c r="L30" s="212"/>
    </row>
    <row r="31" spans="1:12" ht="19.5" customHeight="1" thickBot="1">
      <c r="A31" s="87">
        <f t="shared" si="1"/>
        <v>27</v>
      </c>
      <c r="B31" s="895" t="s">
        <v>396</v>
      </c>
      <c r="C31" s="464"/>
      <c r="D31" s="956">
        <f>D29</f>
        <v>2.9103830456733704E-11</v>
      </c>
      <c r="E31" s="956">
        <f>D31+E29</f>
        <v>67165.3874110228</v>
      </c>
      <c r="F31" s="956">
        <f>E31+F29</f>
        <v>194007.78529693355</v>
      </c>
      <c r="G31" s="956">
        <f>F31+G29</f>
        <v>355040.0914938332</v>
      </c>
      <c r="H31" s="956">
        <f>G31+H29</f>
        <v>620653.30719506</v>
      </c>
      <c r="I31" s="1006">
        <f>H31</f>
        <v>620653.30719506</v>
      </c>
      <c r="J31" s="345"/>
      <c r="K31" s="48"/>
      <c r="L31" s="212"/>
    </row>
    <row r="32" spans="1:12" ht="18" customHeight="1" thickTop="1">
      <c r="A32" s="462" t="s">
        <v>818</v>
      </c>
      <c r="C32" s="219"/>
      <c r="D32" s="220"/>
      <c r="E32" s="1027">
        <v>0.12</v>
      </c>
      <c r="F32" s="221"/>
      <c r="G32" s="221"/>
      <c r="H32" s="221"/>
      <c r="I32" s="221"/>
      <c r="J32" s="346"/>
      <c r="K32" s="106"/>
      <c r="L32" s="212"/>
    </row>
    <row r="33" spans="1:12" ht="18" customHeight="1">
      <c r="A33" s="222"/>
      <c r="B33" s="223"/>
      <c r="C33" s="221"/>
      <c r="D33" s="221"/>
      <c r="E33" s="221"/>
      <c r="F33" s="221"/>
      <c r="G33" s="221"/>
      <c r="H33" s="221"/>
      <c r="I33" s="221"/>
      <c r="J33" s="346"/>
      <c r="K33" s="106"/>
      <c r="L33" s="212"/>
    </row>
    <row r="34" spans="1:12" ht="18.75" thickBot="1">
      <c r="A34" s="346"/>
      <c r="B34" s="346"/>
      <c r="C34" s="346"/>
      <c r="D34" s="346"/>
      <c r="E34" s="346"/>
      <c r="F34" s="346"/>
      <c r="G34" s="346"/>
      <c r="H34" s="346"/>
      <c r="I34" s="346"/>
      <c r="J34" s="346"/>
      <c r="L34" s="212"/>
    </row>
    <row r="35" spans="1:12" ht="18">
      <c r="A35" s="50"/>
      <c r="B35" s="50"/>
      <c r="C35" s="50"/>
      <c r="D35" s="215" t="s">
        <v>473</v>
      </c>
      <c r="E35" s="215" t="s">
        <v>472</v>
      </c>
      <c r="F35" s="215" t="s">
        <v>470</v>
      </c>
      <c r="G35" s="215" t="s">
        <v>401</v>
      </c>
      <c r="H35" s="215" t="s">
        <v>402</v>
      </c>
      <c r="I35" s="50"/>
      <c r="J35" s="50"/>
      <c r="L35" s="212"/>
    </row>
    <row r="36" spans="1:12" ht="15">
      <c r="A36" s="50"/>
      <c r="B36" s="225" t="s">
        <v>530</v>
      </c>
      <c r="C36" s="50"/>
      <c r="D36" s="50"/>
      <c r="E36" s="50"/>
      <c r="F36" s="50"/>
      <c r="G36" s="50"/>
      <c r="H36" s="50"/>
      <c r="I36" s="50"/>
      <c r="J36" s="50"/>
      <c r="L36" s="212"/>
    </row>
    <row r="37" spans="1:12" ht="15">
      <c r="A37" s="50"/>
      <c r="B37" s="1307" t="s">
        <v>531</v>
      </c>
      <c r="C37" s="1308"/>
      <c r="D37" s="226" t="s">
        <v>458</v>
      </c>
      <c r="E37" s="226" t="s">
        <v>459</v>
      </c>
      <c r="F37" s="226" t="s">
        <v>460</v>
      </c>
      <c r="G37" s="226" t="s">
        <v>432</v>
      </c>
      <c r="H37" s="226" t="s">
        <v>433</v>
      </c>
      <c r="I37" s="227" t="s">
        <v>456</v>
      </c>
      <c r="J37" s="228" t="s">
        <v>457</v>
      </c>
      <c r="K37" s="229"/>
      <c r="L37" s="212"/>
    </row>
    <row r="38" spans="1:12" ht="15.75">
      <c r="A38" s="50"/>
      <c r="B38" s="1309">
        <f>-D6-D8</f>
        <v>-430000</v>
      </c>
      <c r="C38" s="1310"/>
      <c r="D38" s="230">
        <f>D29+D26+D14</f>
        <v>29992.6513972603</v>
      </c>
      <c r="E38" s="230">
        <f>E29+E26+E14</f>
        <v>237365.3874110228</v>
      </c>
      <c r="F38" s="230">
        <f>F29+F26+F14</f>
        <v>273042.39788591076</v>
      </c>
      <c r="G38" s="230">
        <f>G29+G26+G14</f>
        <v>283232.3061968997</v>
      </c>
      <c r="H38" s="230">
        <f>H29+H26+H14</f>
        <v>297413.21570122667</v>
      </c>
      <c r="I38" s="231" t="s">
        <v>454</v>
      </c>
      <c r="J38" s="232">
        <f>IRR(B38:H38)</f>
        <v>0.33471930730910615</v>
      </c>
      <c r="K38" s="233"/>
      <c r="L38" s="212"/>
    </row>
    <row r="39" spans="1:12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48"/>
      <c r="L39" s="212"/>
    </row>
    <row r="40" spans="1:12" ht="15">
      <c r="A40" s="50"/>
      <c r="B40" s="1307" t="s">
        <v>532</v>
      </c>
      <c r="C40" s="1308"/>
      <c r="D40" s="226" t="s">
        <v>458</v>
      </c>
      <c r="E40" s="226" t="s">
        <v>459</v>
      </c>
      <c r="F40" s="226" t="s">
        <v>460</v>
      </c>
      <c r="G40" s="226" t="s">
        <v>432</v>
      </c>
      <c r="H40" s="226" t="s">
        <v>433</v>
      </c>
      <c r="I40" s="50"/>
      <c r="J40" s="50"/>
      <c r="K40" s="48"/>
      <c r="L40" s="212"/>
    </row>
    <row r="41" spans="1:12" ht="15.75">
      <c r="A41" s="50"/>
      <c r="B41" s="234" t="s">
        <v>603</v>
      </c>
      <c r="C41" s="235"/>
      <c r="D41" s="898">
        <f>D38</f>
        <v>29992.6513972603</v>
      </c>
      <c r="E41" s="899">
        <f>E38</f>
        <v>237365.3874110228</v>
      </c>
      <c r="F41" s="899">
        <f>F38</f>
        <v>273042.39788591076</v>
      </c>
      <c r="G41" s="230">
        <f>G38</f>
        <v>283232.3061968997</v>
      </c>
      <c r="H41" s="230">
        <f>H38</f>
        <v>297413.21570122667</v>
      </c>
      <c r="I41" s="210"/>
      <c r="J41" s="50"/>
      <c r="K41" s="48"/>
      <c r="L41" s="212"/>
    </row>
    <row r="42" spans="1:12" ht="18">
      <c r="A42" s="50"/>
      <c r="B42" s="88">
        <f>D6+D8+I14</f>
        <v>600392.6513972603</v>
      </c>
      <c r="C42" s="236"/>
      <c r="D42" s="50"/>
      <c r="E42" s="50"/>
      <c r="F42" s="50"/>
      <c r="G42" s="897">
        <f>G41/12</f>
        <v>23602.692183074974</v>
      </c>
      <c r="H42" s="896" t="s">
        <v>369</v>
      </c>
      <c r="I42" s="50"/>
      <c r="J42" s="50"/>
      <c r="K42" s="48"/>
      <c r="L42" s="212"/>
    </row>
    <row r="43" spans="1:12" ht="15">
      <c r="A43" s="50"/>
      <c r="B43" s="50"/>
      <c r="C43" s="50"/>
      <c r="D43" s="50"/>
      <c r="E43" s="50"/>
      <c r="F43" s="50"/>
      <c r="G43" s="897">
        <f>G42</f>
        <v>23602.692183074974</v>
      </c>
      <c r="H43" s="896" t="s">
        <v>370</v>
      </c>
      <c r="I43" s="50"/>
      <c r="J43" s="50"/>
      <c r="K43" s="48"/>
      <c r="L43" s="212"/>
    </row>
    <row r="44" spans="1:12" ht="15">
      <c r="A44" s="50"/>
      <c r="B44" s="50"/>
      <c r="C44" s="50"/>
      <c r="D44" s="50"/>
      <c r="E44" s="50"/>
      <c r="F44" s="906" t="s">
        <v>381</v>
      </c>
      <c r="G44" s="897">
        <f>G43</f>
        <v>23602.692183074974</v>
      </c>
      <c r="H44" s="896" t="s">
        <v>371</v>
      </c>
      <c r="I44" s="210"/>
      <c r="J44" s="210"/>
      <c r="K44" s="219"/>
      <c r="L44" s="212"/>
    </row>
    <row r="45" spans="1:12" ht="15">
      <c r="A45" s="50"/>
      <c r="B45" s="50"/>
      <c r="C45" s="50"/>
      <c r="D45" s="50"/>
      <c r="E45" s="50"/>
      <c r="F45" s="50"/>
      <c r="G45" s="905">
        <f aca="true" t="shared" si="2" ref="G45:G53">G44</f>
        <v>23602.692183074974</v>
      </c>
      <c r="H45" s="896" t="s">
        <v>372</v>
      </c>
      <c r="I45" s="210"/>
      <c r="J45" s="210"/>
      <c r="K45" s="219"/>
      <c r="L45" s="212"/>
    </row>
    <row r="46" spans="1:12" ht="15">
      <c r="A46" s="50"/>
      <c r="B46" s="50"/>
      <c r="C46" s="50"/>
      <c r="D46" s="50"/>
      <c r="E46" s="50"/>
      <c r="F46" s="50"/>
      <c r="G46" s="905">
        <f t="shared" si="2"/>
        <v>23602.692183074974</v>
      </c>
      <c r="H46" s="896" t="s">
        <v>373</v>
      </c>
      <c r="I46" s="210"/>
      <c r="J46" s="210"/>
      <c r="K46" s="219"/>
      <c r="L46" s="212"/>
    </row>
    <row r="47" spans="1:12" ht="15">
      <c r="A47" s="50"/>
      <c r="B47" s="50"/>
      <c r="C47" s="50"/>
      <c r="D47" s="50"/>
      <c r="E47" s="904"/>
      <c r="F47" s="50"/>
      <c r="G47" s="905">
        <f t="shared" si="2"/>
        <v>23602.692183074974</v>
      </c>
      <c r="H47" s="896" t="s">
        <v>374</v>
      </c>
      <c r="I47" s="210"/>
      <c r="J47" s="210"/>
      <c r="K47" s="219"/>
      <c r="L47" s="212"/>
    </row>
    <row r="48" spans="1:12" ht="15">
      <c r="A48" s="50"/>
      <c r="B48" s="50"/>
      <c r="C48" s="50"/>
      <c r="D48" s="50"/>
      <c r="E48" s="50"/>
      <c r="F48" s="50"/>
      <c r="G48" s="905">
        <f t="shared" si="2"/>
        <v>23602.692183074974</v>
      </c>
      <c r="H48" s="896" t="s">
        <v>375</v>
      </c>
      <c r="I48" s="210"/>
      <c r="J48" s="210"/>
      <c r="K48" s="219"/>
      <c r="L48" s="212"/>
    </row>
    <row r="49" spans="1:12" ht="15">
      <c r="A49" s="50"/>
      <c r="B49" s="50"/>
      <c r="C49" s="50"/>
      <c r="D49" s="50"/>
      <c r="E49" s="50"/>
      <c r="F49" s="50"/>
      <c r="G49" s="905">
        <f t="shared" si="2"/>
        <v>23602.692183074974</v>
      </c>
      <c r="H49" s="896" t="s">
        <v>376</v>
      </c>
      <c r="I49" s="210"/>
      <c r="J49" s="210"/>
      <c r="K49" s="219"/>
      <c r="L49" s="212"/>
    </row>
    <row r="50" spans="1:12" ht="15">
      <c r="A50" s="50"/>
      <c r="B50" s="50"/>
      <c r="C50" s="50"/>
      <c r="D50" s="50"/>
      <c r="E50" s="50"/>
      <c r="F50" s="50"/>
      <c r="G50" s="905">
        <f t="shared" si="2"/>
        <v>23602.692183074974</v>
      </c>
      <c r="H50" s="896" t="s">
        <v>377</v>
      </c>
      <c r="I50" s="50"/>
      <c r="J50" s="50"/>
      <c r="L50" s="212"/>
    </row>
    <row r="51" spans="1:12" ht="15">
      <c r="A51" s="50"/>
      <c r="B51" s="50"/>
      <c r="C51" s="50"/>
      <c r="D51" s="50"/>
      <c r="E51" s="50"/>
      <c r="F51" s="50"/>
      <c r="G51" s="905">
        <f t="shared" si="2"/>
        <v>23602.692183074974</v>
      </c>
      <c r="H51" s="896" t="s">
        <v>378</v>
      </c>
      <c r="I51" s="50"/>
      <c r="J51" s="50"/>
      <c r="L51" s="212"/>
    </row>
    <row r="52" spans="1:12" ht="15">
      <c r="A52" s="50"/>
      <c r="B52" s="50"/>
      <c r="C52" s="50"/>
      <c r="D52" s="50"/>
      <c r="E52" s="50"/>
      <c r="F52" s="50"/>
      <c r="G52" s="905">
        <f t="shared" si="2"/>
        <v>23602.692183074974</v>
      </c>
      <c r="H52" s="896" t="s">
        <v>379</v>
      </c>
      <c r="I52" s="50"/>
      <c r="J52" s="50"/>
      <c r="L52" s="212"/>
    </row>
    <row r="53" spans="1:12" ht="15">
      <c r="A53" s="50"/>
      <c r="B53" s="50"/>
      <c r="C53" s="50"/>
      <c r="D53" s="50"/>
      <c r="E53" s="50"/>
      <c r="F53" s="50"/>
      <c r="G53" s="905">
        <f t="shared" si="2"/>
        <v>23602.692183074974</v>
      </c>
      <c r="H53" s="896" t="s">
        <v>380</v>
      </c>
      <c r="I53" s="50"/>
      <c r="J53" s="50"/>
      <c r="L53" s="212"/>
    </row>
    <row r="54" spans="1:12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L54" s="212"/>
    </row>
    <row r="55" spans="1:12" ht="1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</row>
    <row r="56" spans="1:12" ht="1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</row>
    <row r="57" spans="1:12" ht="15">
      <c r="A57" s="219"/>
      <c r="B57" s="219"/>
      <c r="C57" s="219"/>
      <c r="D57" s="219"/>
      <c r="E57" s="219"/>
      <c r="F57" s="219"/>
      <c r="G57" s="219"/>
      <c r="H57" s="219"/>
      <c r="I57" s="219"/>
      <c r="L57" s="212"/>
    </row>
    <row r="58" spans="1:12" ht="15">
      <c r="A58" s="219"/>
      <c r="B58" s="219"/>
      <c r="C58" s="219"/>
      <c r="D58" s="219"/>
      <c r="E58" s="219"/>
      <c r="F58" s="219"/>
      <c r="G58" s="219"/>
      <c r="H58" s="219"/>
      <c r="I58" s="219"/>
      <c r="L58" s="212"/>
    </row>
    <row r="59" spans="1:12" ht="15">
      <c r="A59" s="219"/>
      <c r="B59" s="219"/>
      <c r="C59" s="219"/>
      <c r="D59" s="219"/>
      <c r="E59" s="219"/>
      <c r="F59" s="219"/>
      <c r="G59" s="219"/>
      <c r="H59" s="219"/>
      <c r="I59" s="219"/>
      <c r="L59" s="212"/>
    </row>
    <row r="60" spans="1:12" ht="15">
      <c r="A60" s="219"/>
      <c r="B60" s="219"/>
      <c r="C60" s="219"/>
      <c r="D60" s="219"/>
      <c r="E60" s="219"/>
      <c r="F60" s="219"/>
      <c r="G60" s="219"/>
      <c r="H60" s="219"/>
      <c r="I60" s="219"/>
      <c r="L60" s="212"/>
    </row>
    <row r="61" spans="1:12" ht="15">
      <c r="A61" s="219"/>
      <c r="B61" s="219"/>
      <c r="C61" s="219"/>
      <c r="D61" s="219"/>
      <c r="E61" s="219"/>
      <c r="F61" s="219"/>
      <c r="G61" s="219"/>
      <c r="H61" s="219"/>
      <c r="I61" s="219"/>
      <c r="L61" s="212"/>
    </row>
    <row r="62" spans="1:12" ht="15">
      <c r="A62" s="219"/>
      <c r="B62" s="219"/>
      <c r="C62" s="219"/>
      <c r="D62" s="219"/>
      <c r="E62" s="219"/>
      <c r="F62" s="219"/>
      <c r="G62" s="219"/>
      <c r="H62" s="219"/>
      <c r="I62" s="219"/>
      <c r="L62" s="212"/>
    </row>
    <row r="63" spans="1:12" ht="15">
      <c r="A63" s="219"/>
      <c r="B63" s="219"/>
      <c r="C63" s="219"/>
      <c r="D63" s="219"/>
      <c r="E63" s="219"/>
      <c r="F63" s="219"/>
      <c r="G63" s="219"/>
      <c r="H63" s="219"/>
      <c r="I63" s="219"/>
      <c r="L63" s="212"/>
    </row>
    <row r="64" spans="1:12" ht="15">
      <c r="A64" s="219"/>
      <c r="B64" s="219"/>
      <c r="C64" s="219"/>
      <c r="D64" s="219"/>
      <c r="E64" s="219"/>
      <c r="F64" s="219"/>
      <c r="G64" s="219"/>
      <c r="H64" s="219"/>
      <c r="I64" s="219"/>
      <c r="L64" s="212"/>
    </row>
    <row r="65" spans="1:12" ht="15">
      <c r="A65" s="219"/>
      <c r="B65" s="219"/>
      <c r="C65" s="219"/>
      <c r="D65" s="219"/>
      <c r="E65" s="219"/>
      <c r="F65" s="219"/>
      <c r="G65" s="219"/>
      <c r="H65" s="219"/>
      <c r="I65" s="219"/>
      <c r="L65" s="212"/>
    </row>
    <row r="66" spans="1:12" ht="15">
      <c r="A66" s="219"/>
      <c r="B66" s="219"/>
      <c r="C66" s="219"/>
      <c r="D66" s="219"/>
      <c r="E66" s="219"/>
      <c r="F66" s="219"/>
      <c r="G66" s="219"/>
      <c r="H66" s="219"/>
      <c r="I66" s="219"/>
      <c r="L66" s="212"/>
    </row>
    <row r="67" spans="1:12" ht="15">
      <c r="A67" s="219"/>
      <c r="B67" s="219"/>
      <c r="C67" s="219"/>
      <c r="D67" s="219"/>
      <c r="E67" s="219"/>
      <c r="F67" s="219"/>
      <c r="G67" s="219"/>
      <c r="H67" s="219"/>
      <c r="I67" s="219"/>
      <c r="L67" s="212"/>
    </row>
    <row r="68" spans="1:12" ht="15">
      <c r="A68" s="219"/>
      <c r="B68" s="219"/>
      <c r="C68" s="219"/>
      <c r="D68" s="219"/>
      <c r="E68" s="219"/>
      <c r="F68" s="219"/>
      <c r="G68" s="219"/>
      <c r="H68" s="219"/>
      <c r="I68" s="219"/>
      <c r="L68" s="212"/>
    </row>
    <row r="69" spans="1:12" ht="15">
      <c r="A69" s="219"/>
      <c r="B69" s="219"/>
      <c r="C69" s="219"/>
      <c r="D69" s="219"/>
      <c r="E69" s="219"/>
      <c r="F69" s="219"/>
      <c r="G69" s="219"/>
      <c r="H69" s="219"/>
      <c r="I69" s="219"/>
      <c r="L69" s="212"/>
    </row>
    <row r="70" spans="1:12" ht="12.75">
      <c r="A70" s="219"/>
      <c r="B70" s="219"/>
      <c r="C70" s="219"/>
      <c r="D70" s="219"/>
      <c r="F70" s="219"/>
      <c r="G70" s="219"/>
      <c r="H70" s="219"/>
      <c r="I70" s="219"/>
      <c r="L70" s="219"/>
    </row>
    <row r="71" spans="1:12" ht="12.75">
      <c r="A71" s="219"/>
      <c r="B71" s="219"/>
      <c r="C71" s="219"/>
      <c r="D71" s="219"/>
      <c r="F71" s="219"/>
      <c r="G71" s="219"/>
      <c r="H71" s="219"/>
      <c r="I71" s="219"/>
      <c r="L71" s="219"/>
    </row>
    <row r="72" spans="1:12" ht="12.75">
      <c r="A72" s="219"/>
      <c r="B72" s="219"/>
      <c r="C72" s="219"/>
      <c r="D72" s="219"/>
      <c r="F72" s="219"/>
      <c r="G72" s="219"/>
      <c r="H72" s="219"/>
      <c r="I72" s="219"/>
      <c r="L72" s="219"/>
    </row>
    <row r="73" spans="1:12" ht="12.75">
      <c r="A73" s="219"/>
      <c r="B73" s="219"/>
      <c r="C73" s="219"/>
      <c r="D73" s="219"/>
      <c r="F73" s="219"/>
      <c r="G73" s="219"/>
      <c r="H73" s="219"/>
      <c r="I73" s="219"/>
      <c r="L73" s="219"/>
    </row>
    <row r="74" spans="1:12" ht="12.75">
      <c r="A74" s="219"/>
      <c r="B74" s="219"/>
      <c r="C74" s="219"/>
      <c r="D74" s="219"/>
      <c r="F74" s="219"/>
      <c r="G74" s="219"/>
      <c r="H74" s="219"/>
      <c r="I74" s="219"/>
      <c r="L74" s="219"/>
    </row>
    <row r="75" spans="1:12" ht="12.75">
      <c r="A75" s="219"/>
      <c r="B75" s="219"/>
      <c r="C75" s="219"/>
      <c r="D75" s="219"/>
      <c r="F75" s="219"/>
      <c r="G75" s="219"/>
      <c r="H75" s="219"/>
      <c r="I75" s="219"/>
      <c r="L75" s="219"/>
    </row>
    <row r="76" spans="1:12" ht="12.75">
      <c r="A76" s="219"/>
      <c r="B76" s="219"/>
      <c r="C76" s="219"/>
      <c r="D76" s="219"/>
      <c r="F76" s="219"/>
      <c r="G76" s="219"/>
      <c r="H76" s="219"/>
      <c r="I76" s="219"/>
      <c r="L76" s="219"/>
    </row>
    <row r="77" spans="1:12" ht="12.75">
      <c r="A77" s="219"/>
      <c r="B77" s="219"/>
      <c r="C77" s="219"/>
      <c r="D77" s="219"/>
      <c r="F77" s="219"/>
      <c r="G77" s="219"/>
      <c r="H77" s="219"/>
      <c r="I77" s="219"/>
      <c r="L77" s="219"/>
    </row>
  </sheetData>
  <sheetProtection/>
  <mergeCells count="6">
    <mergeCell ref="B40:C40"/>
    <mergeCell ref="A1:I1"/>
    <mergeCell ref="B38:C38"/>
    <mergeCell ref="B37:C37"/>
    <mergeCell ref="A3:A4"/>
    <mergeCell ref="B3:C4"/>
  </mergeCells>
  <printOptions verticalCentered="1"/>
  <pageMargins left="0.77" right="0.12" top="0.55" bottom="0.34" header="0.5118110236220472" footer="0.3"/>
  <pageSetup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="75" zoomScaleNormal="75" zoomScalePageLayoutView="0" workbookViewId="0" topLeftCell="A1">
      <selection activeCell="G1" sqref="G1"/>
    </sheetView>
  </sheetViews>
  <sheetFormatPr defaultColWidth="9.00390625" defaultRowHeight="12.75"/>
  <cols>
    <col min="1" max="1" width="5.625" style="318" customWidth="1"/>
    <col min="2" max="2" width="35.875" style="318" customWidth="1"/>
    <col min="3" max="3" width="12.75390625" style="318" customWidth="1"/>
    <col min="4" max="4" width="12.875" style="318" customWidth="1"/>
    <col min="5" max="6" width="12.75390625" style="318" customWidth="1"/>
    <col min="7" max="7" width="13.00390625" style="318" customWidth="1"/>
    <col min="8" max="8" width="12.75390625" style="318" customWidth="1"/>
    <col min="9" max="9" width="10.125" style="318" customWidth="1"/>
    <col min="10" max="10" width="24.75390625" style="318" customWidth="1"/>
    <col min="11" max="11" width="4.875" style="318" hidden="1" customWidth="1"/>
    <col min="12" max="12" width="20.75390625" style="318" bestFit="1" customWidth="1"/>
    <col min="13" max="13" width="13.00390625" style="318" bestFit="1" customWidth="1"/>
    <col min="14" max="17" width="13.125" style="318" bestFit="1" customWidth="1"/>
    <col min="18" max="16384" width="9.125" style="318" customWidth="1"/>
  </cols>
  <sheetData>
    <row r="1" spans="10:17" ht="15.75">
      <c r="J1" s="360"/>
      <c r="L1" s="319"/>
      <c r="M1" s="320" t="s">
        <v>533</v>
      </c>
      <c r="N1" s="320" t="s">
        <v>534</v>
      </c>
      <c r="O1" s="320" t="s">
        <v>535</v>
      </c>
      <c r="P1" s="320" t="s">
        <v>536</v>
      </c>
      <c r="Q1" s="320" t="s">
        <v>537</v>
      </c>
    </row>
    <row r="2" spans="1:17" ht="18">
      <c r="A2" s="1315" t="s">
        <v>648</v>
      </c>
      <c r="B2" s="1315"/>
      <c r="C2" s="1315"/>
      <c r="D2" s="1315"/>
      <c r="E2" s="1315"/>
      <c r="F2" s="1315"/>
      <c r="G2" s="1315"/>
      <c r="H2" s="1315"/>
      <c r="I2" s="1315"/>
      <c r="J2" s="360"/>
      <c r="K2" s="321"/>
      <c r="L2" s="322" t="s">
        <v>538</v>
      </c>
      <c r="M2" s="323">
        <f>КЕШ!D5</f>
        <v>0</v>
      </c>
      <c r="N2" s="323">
        <f>КЕШ!E5</f>
        <v>814296</v>
      </c>
      <c r="O2" s="323">
        <f>КЕШ!F5</f>
        <v>855010.8</v>
      </c>
      <c r="P2" s="323">
        <f>КЕШ!G5</f>
        <v>897761.3400000001</v>
      </c>
      <c r="Q2" s="323">
        <f>КЕШ!H5</f>
        <v>942649.4070000001</v>
      </c>
    </row>
    <row r="3" spans="10:17" ht="13.5" customHeight="1">
      <c r="J3" s="360"/>
      <c r="L3" s="322" t="s">
        <v>539</v>
      </c>
      <c r="M3" s="323">
        <f>КЕШ!D18-КЕШ!D16</f>
        <v>43257.11168504099</v>
      </c>
      <c r="N3" s="323">
        <f>КЕШ!E18</f>
        <v>671758.8218997988</v>
      </c>
      <c r="O3" s="323">
        <f>КЕШ!F18</f>
        <v>629542.0715436424</v>
      </c>
      <c r="P3" s="323">
        <f>КЕШ!G18</f>
        <v>601198.3983875983</v>
      </c>
      <c r="Q3" s="323">
        <f>КЕШ!H18</f>
        <v>584444.1260769062</v>
      </c>
    </row>
    <row r="4" spans="1:17" ht="13.5" customHeight="1">
      <c r="A4" s="1317" t="s">
        <v>803</v>
      </c>
      <c r="B4" s="1317"/>
      <c r="C4" s="1317"/>
      <c r="D4" s="1317"/>
      <c r="E4" s="1317"/>
      <c r="F4" s="1317"/>
      <c r="G4" s="1317"/>
      <c r="H4" s="1317"/>
      <c r="I4" s="1317"/>
      <c r="J4" s="360"/>
      <c r="L4" s="322" t="s">
        <v>540</v>
      </c>
      <c r="M4" s="323">
        <f>КЕШ!D14</f>
        <v>29992.65139726027</v>
      </c>
      <c r="N4" s="323">
        <f>КЕШ!E14</f>
        <v>70200</v>
      </c>
      <c r="O4" s="323">
        <f>КЕШ!F14</f>
        <v>46200</v>
      </c>
      <c r="P4" s="323">
        <f>КЕШ!G14</f>
        <v>22200</v>
      </c>
      <c r="Q4" s="323">
        <f>КЕШ!H14</f>
        <v>1800</v>
      </c>
    </row>
    <row r="5" spans="1:17" ht="15.75">
      <c r="A5" s="327"/>
      <c r="B5" s="327"/>
      <c r="C5" s="328"/>
      <c r="D5" s="328"/>
      <c r="E5" s="328"/>
      <c r="F5" s="328"/>
      <c r="G5" s="328"/>
      <c r="J5" s="360"/>
      <c r="L5" s="322" t="s">
        <v>541</v>
      </c>
      <c r="M5" s="323">
        <f>КЕШ!D19</f>
        <v>-13264.460287780734</v>
      </c>
      <c r="N5" s="323">
        <f>КЕШ!E19</f>
        <v>142537.17810020118</v>
      </c>
      <c r="O5" s="323">
        <f>КЕШ!F19</f>
        <v>225468.7284563576</v>
      </c>
      <c r="P5" s="323">
        <f>КЕШ!G19</f>
        <v>296562.94161240174</v>
      </c>
      <c r="Q5" s="323">
        <f>КЕШ!H19</f>
        <v>358205.2809230939</v>
      </c>
    </row>
    <row r="6" spans="1:17" ht="15">
      <c r="A6" s="327"/>
      <c r="B6" s="327"/>
      <c r="C6" s="327"/>
      <c r="D6" s="327"/>
      <c r="E6" s="327"/>
      <c r="F6" s="327"/>
      <c r="G6" s="327"/>
      <c r="J6" s="360"/>
      <c r="L6" s="322" t="s">
        <v>542</v>
      </c>
      <c r="M6" s="323">
        <f>КЕШ!D21</f>
        <v>-13264.460287780734</v>
      </c>
      <c r="N6" s="323">
        <f>КЕШ!E21</f>
        <v>106902.88357515089</v>
      </c>
      <c r="O6" s="323">
        <f>КЕШ!F21</f>
        <v>169101.5463422682</v>
      </c>
      <c r="P6" s="323">
        <f>КЕШ!G21</f>
        <v>222422.2062093013</v>
      </c>
      <c r="Q6" s="323">
        <f>КЕШ!H21</f>
        <v>268653.9606923204</v>
      </c>
    </row>
    <row r="7" spans="1:17" ht="15">
      <c r="A7" s="327"/>
      <c r="B7" s="327"/>
      <c r="C7" s="327"/>
      <c r="D7" s="327"/>
      <c r="E7" s="327"/>
      <c r="F7" s="327"/>
      <c r="G7" s="327"/>
      <c r="J7" s="360"/>
      <c r="L7" s="322" t="s">
        <v>365</v>
      </c>
      <c r="M7" s="323">
        <f>КЕШ!D12-КЕШ!D11+КЕШ!D20</f>
        <v>0</v>
      </c>
      <c r="N7" s="323">
        <f>КЕШ!E12-КЕШ!E11+КЕШ!E20</f>
        <v>141107.96119171695</v>
      </c>
      <c r="O7" s="323">
        <f>КЕШ!F12-КЕШ!F11+КЕШ!F20</f>
        <v>168021.80211408943</v>
      </c>
      <c r="P7" s="323">
        <f>КЕШ!G12-КЕШ!G11+КЕШ!G20</f>
        <v>192303.50180310046</v>
      </c>
      <c r="Q7" s="323">
        <f>КЕШ!H12-КЕШ!H11+КЕШ!H20</f>
        <v>214566.14865877348</v>
      </c>
    </row>
    <row r="8" spans="1:20" ht="15.75">
      <c r="A8" s="329"/>
      <c r="B8" s="330"/>
      <c r="J8" s="360"/>
      <c r="R8" s="331"/>
      <c r="S8" s="331"/>
      <c r="T8" s="331"/>
    </row>
    <row r="9" ht="12.75">
      <c r="J9" s="360"/>
    </row>
    <row r="10" spans="1:10" ht="12.75">
      <c r="A10" s="327"/>
      <c r="B10" s="327"/>
      <c r="C10" s="327"/>
      <c r="D10" s="327"/>
      <c r="E10" s="327"/>
      <c r="F10" s="327"/>
      <c r="G10" s="327"/>
      <c r="J10" s="360"/>
    </row>
    <row r="11" spans="1:10" ht="12.75">
      <c r="A11" s="327"/>
      <c r="B11" s="327"/>
      <c r="C11" s="327"/>
      <c r="D11" s="327"/>
      <c r="E11" s="327"/>
      <c r="F11" s="327"/>
      <c r="G11" s="327"/>
      <c r="J11" s="360"/>
    </row>
    <row r="12" spans="1:10" ht="12.75">
      <c r="A12" s="327"/>
      <c r="B12" s="327"/>
      <c r="C12" s="327"/>
      <c r="D12" s="327"/>
      <c r="E12" s="327"/>
      <c r="F12" s="327"/>
      <c r="G12" s="327"/>
      <c r="J12" s="360"/>
    </row>
    <row r="13" spans="1:10" ht="12.75">
      <c r="A13" s="327"/>
      <c r="B13" s="327"/>
      <c r="C13" s="327"/>
      <c r="D13" s="327"/>
      <c r="E13" s="327"/>
      <c r="F13" s="327"/>
      <c r="G13" s="327"/>
      <c r="J13" s="360"/>
    </row>
    <row r="14" spans="1:10" ht="12.75">
      <c r="A14" s="327"/>
      <c r="B14" s="327"/>
      <c r="C14" s="327"/>
      <c r="D14" s="327"/>
      <c r="E14" s="327"/>
      <c r="F14" s="327"/>
      <c r="G14" s="327"/>
      <c r="J14" s="360"/>
    </row>
    <row r="15" spans="1:10" ht="12.75">
      <c r="A15" s="327"/>
      <c r="B15" s="327"/>
      <c r="C15" s="327"/>
      <c r="D15" s="327"/>
      <c r="E15" s="327"/>
      <c r="F15" s="327"/>
      <c r="G15" s="327"/>
      <c r="J15" s="360"/>
    </row>
    <row r="16" spans="1:10" ht="12.75">
      <c r="A16" s="327"/>
      <c r="B16" s="327"/>
      <c r="C16" s="327"/>
      <c r="D16" s="327"/>
      <c r="E16" s="327"/>
      <c r="F16" s="327"/>
      <c r="G16" s="327"/>
      <c r="J16" s="360"/>
    </row>
    <row r="17" spans="1:10" ht="12.75">
      <c r="A17" s="327"/>
      <c r="B17" s="327"/>
      <c r="C17" s="327"/>
      <c r="D17" s="327"/>
      <c r="E17" s="327"/>
      <c r="F17" s="327"/>
      <c r="G17" s="327"/>
      <c r="J17" s="360"/>
    </row>
    <row r="18" spans="1:10" ht="12.75">
      <c r="A18" s="327"/>
      <c r="B18" s="327"/>
      <c r="C18" s="327"/>
      <c r="D18" s="327"/>
      <c r="E18" s="327"/>
      <c r="F18" s="327"/>
      <c r="G18" s="327"/>
      <c r="J18" s="360"/>
    </row>
    <row r="19" spans="1:10" ht="12.75">
      <c r="A19" s="327"/>
      <c r="B19" s="327"/>
      <c r="C19" s="327"/>
      <c r="D19" s="327"/>
      <c r="E19" s="327"/>
      <c r="F19" s="327"/>
      <c r="G19" s="327"/>
      <c r="J19" s="360"/>
    </row>
    <row r="20" spans="1:10" ht="12.75">
      <c r="A20" s="327"/>
      <c r="B20" s="327"/>
      <c r="C20" s="327"/>
      <c r="D20" s="327"/>
      <c r="E20" s="327"/>
      <c r="F20" s="327"/>
      <c r="G20" s="327"/>
      <c r="J20" s="360"/>
    </row>
    <row r="21" spans="1:10" ht="12.75">
      <c r="A21" s="327"/>
      <c r="B21" s="327"/>
      <c r="C21" s="327"/>
      <c r="D21" s="327"/>
      <c r="E21" s="327"/>
      <c r="F21" s="327"/>
      <c r="G21" s="327"/>
      <c r="J21" s="360"/>
    </row>
    <row r="22" spans="1:10" ht="12.75">
      <c r="A22" s="327"/>
      <c r="B22" s="327"/>
      <c r="C22" s="327"/>
      <c r="D22" s="327"/>
      <c r="E22" s="327"/>
      <c r="F22" s="327"/>
      <c r="G22" s="327"/>
      <c r="J22" s="360"/>
    </row>
    <row r="23" ht="12.75">
      <c r="J23" s="360"/>
    </row>
    <row r="24" ht="12.75">
      <c r="J24" s="360"/>
    </row>
    <row r="25" ht="12.75">
      <c r="J25" s="360"/>
    </row>
    <row r="26" ht="12.75">
      <c r="J26" s="360"/>
    </row>
    <row r="27" ht="12.75">
      <c r="J27" s="360"/>
    </row>
    <row r="28" ht="12.75">
      <c r="J28" s="360"/>
    </row>
    <row r="29" ht="12.75">
      <c r="J29" s="360"/>
    </row>
    <row r="30" ht="12.75">
      <c r="J30" s="360"/>
    </row>
    <row r="31" ht="12.75">
      <c r="J31" s="360"/>
    </row>
    <row r="32" ht="12.75">
      <c r="J32" s="360"/>
    </row>
    <row r="33" ht="12.75">
      <c r="J33" s="360"/>
    </row>
    <row r="34" ht="12.75">
      <c r="J34" s="360"/>
    </row>
    <row r="35" spans="1:10" ht="15">
      <c r="A35" s="1316" t="s">
        <v>801</v>
      </c>
      <c r="B35" s="1316"/>
      <c r="C35" s="1316"/>
      <c r="D35" s="1316"/>
      <c r="E35" s="1316"/>
      <c r="F35" s="1316"/>
      <c r="G35" s="1316"/>
      <c r="H35" s="1316"/>
      <c r="I35" s="1316"/>
      <c r="J35" s="360"/>
    </row>
    <row r="36" spans="1:11" ht="60" customHeight="1">
      <c r="A36" s="360"/>
      <c r="B36" s="360"/>
      <c r="C36" s="360"/>
      <c r="D36" s="360"/>
      <c r="E36" s="360"/>
      <c r="F36" s="360"/>
      <c r="G36" s="360"/>
      <c r="H36" s="360"/>
      <c r="I36" s="360"/>
      <c r="J36" s="360"/>
      <c r="K36" s="321"/>
    </row>
    <row r="37" spans="2:7" ht="12.75">
      <c r="B37" s="318" t="s">
        <v>436</v>
      </c>
      <c r="C37" s="331"/>
      <c r="D37" s="331"/>
      <c r="E37" s="331"/>
      <c r="F37" s="331"/>
      <c r="G37" s="331"/>
    </row>
    <row r="38" spans="3:7" ht="12.75">
      <c r="C38" s="331"/>
      <c r="D38" s="331"/>
      <c r="E38" s="331"/>
      <c r="F38" s="331"/>
      <c r="G38" s="331"/>
    </row>
    <row r="39" spans="3:7" ht="12.75">
      <c r="C39" s="331"/>
      <c r="D39" s="331"/>
      <c r="E39" s="331"/>
      <c r="F39" s="331"/>
      <c r="G39" s="331"/>
    </row>
    <row r="40" spans="3:7" ht="12.75">
      <c r="C40" s="331"/>
      <c r="D40" s="331"/>
      <c r="E40" s="331"/>
      <c r="F40" s="331"/>
      <c r="G40" s="331"/>
    </row>
    <row r="41" spans="3:7" ht="12.75">
      <c r="C41" s="331"/>
      <c r="D41" s="331"/>
      <c r="E41" s="331"/>
      <c r="F41" s="331"/>
      <c r="G41" s="331"/>
    </row>
    <row r="42" spans="3:7" ht="12.75">
      <c r="C42" s="331"/>
      <c r="D42" s="331"/>
      <c r="E42" s="331"/>
      <c r="F42" s="331"/>
      <c r="G42" s="331"/>
    </row>
    <row r="43" spans="3:7" ht="12.75">
      <c r="C43" s="331"/>
      <c r="D43" s="331"/>
      <c r="E43" s="331"/>
      <c r="F43" s="331"/>
      <c r="G43" s="331"/>
    </row>
  </sheetData>
  <sheetProtection/>
  <mergeCells count="3">
    <mergeCell ref="A2:I2"/>
    <mergeCell ref="A35:I35"/>
    <mergeCell ref="A4:I4"/>
  </mergeCells>
  <printOptions verticalCentered="1"/>
  <pageMargins left="0.36" right="0.8267716535433072" top="0.68" bottom="0.68" header="0.5118110236220472" footer="0.5118110236220472"/>
  <pageSetup fitToHeight="1" fitToWidth="1"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4"/>
  <sheetViews>
    <sheetView showGridLines="0" zoomScale="75" zoomScaleNormal="75" zoomScalePageLayoutView="0" workbookViewId="0" topLeftCell="A1">
      <selection activeCell="K1" sqref="K1"/>
    </sheetView>
  </sheetViews>
  <sheetFormatPr defaultColWidth="14.375" defaultRowHeight="12.75"/>
  <cols>
    <col min="1" max="1" width="26.125" style="48" customWidth="1"/>
    <col min="2" max="2" width="11.00390625" style="48" customWidth="1"/>
    <col min="3" max="4" width="14.25390625" style="48" customWidth="1"/>
    <col min="5" max="5" width="16.75390625" style="48" customWidth="1"/>
    <col min="6" max="6" width="14.25390625" style="48" customWidth="1"/>
    <col min="7" max="7" width="24.75390625" style="48" customWidth="1"/>
    <col min="8" max="16384" width="14.375" style="48" customWidth="1"/>
  </cols>
  <sheetData>
    <row r="1" spans="6:7" ht="12.75">
      <c r="F1" s="245"/>
      <c r="G1" s="344"/>
    </row>
    <row r="2" spans="1:7" s="91" customFormat="1" ht="20.25">
      <c r="A2" s="1318" t="s">
        <v>804</v>
      </c>
      <c r="B2" s="1318"/>
      <c r="C2" s="1318"/>
      <c r="D2" s="1318"/>
      <c r="E2" s="1318"/>
      <c r="F2" s="1318"/>
      <c r="G2" s="344"/>
    </row>
    <row r="3" spans="1:7" ht="18" customHeight="1">
      <c r="A3" s="89"/>
      <c r="B3" s="89"/>
      <c r="C3" s="89"/>
      <c r="D3" s="89"/>
      <c r="E3" s="90"/>
      <c r="F3" s="174" t="s">
        <v>805</v>
      </c>
      <c r="G3" s="344"/>
    </row>
    <row r="4" spans="1:7" s="219" customFormat="1" ht="6.75" customHeight="1" thickBot="1">
      <c r="A4" s="246"/>
      <c r="B4" s="246"/>
      <c r="C4" s="246"/>
      <c r="D4" s="246"/>
      <c r="E4" s="246"/>
      <c r="F4" s="246"/>
      <c r="G4" s="344"/>
    </row>
    <row r="5" spans="1:7" s="91" customFormat="1" ht="18.75" customHeight="1" thickBot="1">
      <c r="A5" s="1321" t="s">
        <v>543</v>
      </c>
      <c r="B5" s="1322"/>
      <c r="C5" s="1322"/>
      <c r="D5" s="1322"/>
      <c r="E5" s="1322"/>
      <c r="F5" s="1323"/>
      <c r="G5" s="344"/>
    </row>
    <row r="6" spans="1:7" ht="19.5" customHeight="1">
      <c r="A6" s="237" t="s">
        <v>366</v>
      </c>
      <c r="B6" s="247"/>
      <c r="C6" s="247"/>
      <c r="D6" s="238"/>
      <c r="E6" s="110">
        <f>КЕШ!D6</f>
        <v>330000</v>
      </c>
      <c r="F6" s="239" t="s">
        <v>516</v>
      </c>
      <c r="G6" s="344"/>
    </row>
    <row r="7" spans="1:7" ht="19.5" customHeight="1">
      <c r="A7" s="959" t="s">
        <v>351</v>
      </c>
      <c r="B7" s="247"/>
      <c r="C7" s="247"/>
      <c r="D7" s="238"/>
      <c r="E7" s="110">
        <f>КЕШ!D8</f>
        <v>100000</v>
      </c>
      <c r="F7" s="239"/>
      <c r="G7" s="344"/>
    </row>
    <row r="8" spans="1:7" ht="19.5" customHeight="1">
      <c r="A8" s="959" t="s">
        <v>350</v>
      </c>
      <c r="B8" s="247"/>
      <c r="C8" s="247"/>
      <c r="D8" s="238"/>
      <c r="E8" s="110">
        <f>КЕШ!D9</f>
        <v>29992.65139726027</v>
      </c>
      <c r="F8" s="239"/>
      <c r="G8" s="344"/>
    </row>
    <row r="9" spans="1:7" s="219" customFormat="1" ht="19.5" customHeight="1">
      <c r="A9" s="95" t="s">
        <v>367</v>
      </c>
      <c r="B9" s="248"/>
      <c r="C9" s="248"/>
      <c r="D9" s="93"/>
      <c r="E9" s="533">
        <v>5</v>
      </c>
      <c r="F9" s="94" t="s">
        <v>544</v>
      </c>
      <c r="G9" s="344"/>
    </row>
    <row r="10" spans="1:7" s="219" customFormat="1" ht="19.5" customHeight="1">
      <c r="A10" s="95" t="s">
        <v>368</v>
      </c>
      <c r="B10" s="96"/>
      <c r="C10" s="97"/>
      <c r="D10" s="93"/>
      <c r="E10" s="426">
        <v>0.24</v>
      </c>
      <c r="F10" s="94" t="s">
        <v>545</v>
      </c>
      <c r="G10" s="344"/>
    </row>
    <row r="11" spans="1:7" s="219" customFormat="1" ht="19.5" customHeight="1">
      <c r="A11" s="95" t="s">
        <v>546</v>
      </c>
      <c r="B11" s="96"/>
      <c r="C11" s="97"/>
      <c r="D11" s="93"/>
      <c r="E11" s="120">
        <v>0.12</v>
      </c>
      <c r="F11" s="94" t="s">
        <v>545</v>
      </c>
      <c r="G11" s="344"/>
    </row>
    <row r="12" spans="1:7" s="219" customFormat="1" ht="19.5" customHeight="1">
      <c r="A12" s="92" t="s">
        <v>715</v>
      </c>
      <c r="B12" s="96"/>
      <c r="C12" s="97"/>
      <c r="D12" s="93"/>
      <c r="E12" s="1324" t="s">
        <v>714</v>
      </c>
      <c r="F12" s="1325"/>
      <c r="G12" s="344"/>
    </row>
    <row r="13" spans="1:7" s="219" customFormat="1" ht="19.5" customHeight="1">
      <c r="A13" s="92" t="s">
        <v>713</v>
      </c>
      <c r="B13" s="98"/>
      <c r="C13" s="99"/>
      <c r="D13" s="93"/>
      <c r="E13" s="1324" t="s">
        <v>714</v>
      </c>
      <c r="F13" s="1325"/>
      <c r="G13" s="344"/>
    </row>
    <row r="14" spans="1:7" s="219" customFormat="1" ht="19.5" customHeight="1" thickBot="1">
      <c r="A14" s="100" t="s">
        <v>547</v>
      </c>
      <c r="B14" s="101"/>
      <c r="C14" s="102"/>
      <c r="D14" s="103"/>
      <c r="E14" s="104" t="s">
        <v>729</v>
      </c>
      <c r="F14" s="105"/>
      <c r="G14" s="344"/>
    </row>
    <row r="15" spans="1:7" s="219" customFormat="1" ht="16.5" thickBot="1" thickTop="1">
      <c r="A15" s="246"/>
      <c r="B15" s="246"/>
      <c r="C15" s="246"/>
      <c r="D15" s="246"/>
      <c r="E15" s="246"/>
      <c r="F15" s="246"/>
      <c r="G15" s="344"/>
    </row>
    <row r="16" spans="1:7" s="106" customFormat="1" ht="20.25" customHeight="1" thickBot="1">
      <c r="A16" s="1321" t="s">
        <v>548</v>
      </c>
      <c r="B16" s="1322"/>
      <c r="C16" s="1322"/>
      <c r="D16" s="1322"/>
      <c r="E16" s="1322"/>
      <c r="F16" s="1323"/>
      <c r="G16" s="344"/>
    </row>
    <row r="17" spans="1:7" s="219" customFormat="1" ht="19.5" customHeight="1">
      <c r="A17" s="92" t="s">
        <v>549</v>
      </c>
      <c r="B17" s="107"/>
      <c r="C17" s="108"/>
      <c r="D17" s="109" t="s">
        <v>550</v>
      </c>
      <c r="E17" s="110">
        <f>КЕШ!I31</f>
        <v>620653.30719506</v>
      </c>
      <c r="F17" s="111" t="str">
        <f>F6</f>
        <v>грн.</v>
      </c>
      <c r="G17" s="344"/>
    </row>
    <row r="18" spans="1:7" s="219" customFormat="1" ht="19.5" customHeight="1">
      <c r="A18" s="112" t="s">
        <v>551</v>
      </c>
      <c r="B18" s="107"/>
      <c r="C18" s="108"/>
      <c r="D18" s="113" t="s">
        <v>552</v>
      </c>
      <c r="E18" s="110">
        <f>E6+E7+E8+E19</f>
        <v>856875.414043156</v>
      </c>
      <c r="F18" s="111" t="str">
        <f>F6</f>
        <v>грн.</v>
      </c>
      <c r="G18" s="344"/>
    </row>
    <row r="19" spans="1:7" s="219" customFormat="1" ht="19.5" customHeight="1">
      <c r="A19" s="112" t="s">
        <v>553</v>
      </c>
      <c r="B19" s="114"/>
      <c r="C19" s="115"/>
      <c r="D19" s="116" t="s">
        <v>554</v>
      </c>
      <c r="E19" s="110">
        <f>E35</f>
        <v>396882.76264589577</v>
      </c>
      <c r="F19" s="111" t="str">
        <f>F6</f>
        <v>грн.</v>
      </c>
      <c r="G19" s="344"/>
    </row>
    <row r="20" spans="1:7" s="219" customFormat="1" ht="19.5" customHeight="1">
      <c r="A20" s="112" t="s">
        <v>555</v>
      </c>
      <c r="B20" s="114"/>
      <c r="C20" s="115"/>
      <c r="D20" s="116" t="s">
        <v>556</v>
      </c>
      <c r="E20" s="117">
        <v>3.2</v>
      </c>
      <c r="F20" s="118" t="s">
        <v>544</v>
      </c>
      <c r="G20" s="344"/>
    </row>
    <row r="21" spans="1:7" s="219" customFormat="1" ht="19.5" customHeight="1">
      <c r="A21" s="112" t="s">
        <v>557</v>
      </c>
      <c r="B21" s="114"/>
      <c r="C21" s="115"/>
      <c r="D21" s="116" t="s">
        <v>558</v>
      </c>
      <c r="E21" s="117">
        <v>5</v>
      </c>
      <c r="F21" s="118" t="s">
        <v>544</v>
      </c>
      <c r="G21" s="344"/>
    </row>
    <row r="22" spans="1:8" s="219" customFormat="1" ht="19.5" customHeight="1">
      <c r="A22" s="112" t="s">
        <v>559</v>
      </c>
      <c r="B22" s="119"/>
      <c r="C22" s="35"/>
      <c r="D22" s="116" t="s">
        <v>560</v>
      </c>
      <c r="E22" s="120">
        <f>КЕШ!I19/КЕШ!I18</f>
        <v>0.34102746037379983</v>
      </c>
      <c r="F22" s="118" t="s">
        <v>545</v>
      </c>
      <c r="G22" s="344"/>
      <c r="H22" s="900"/>
    </row>
    <row r="23" spans="1:7" s="219" customFormat="1" ht="19.5" customHeight="1">
      <c r="A23" s="112" t="s">
        <v>561</v>
      </c>
      <c r="B23" s="119"/>
      <c r="C23" s="35"/>
      <c r="D23" s="116" t="s">
        <v>562</v>
      </c>
      <c r="E23" s="120">
        <f>КЕШ!J38</f>
        <v>0.33471930730910615</v>
      </c>
      <c r="F23" s="118" t="s">
        <v>545</v>
      </c>
      <c r="G23" s="344"/>
    </row>
    <row r="24" spans="1:7" s="219" customFormat="1" ht="19.5" customHeight="1" thickBot="1">
      <c r="A24" s="121" t="s">
        <v>563</v>
      </c>
      <c r="B24" s="122"/>
      <c r="C24" s="123"/>
      <c r="D24" s="124" t="s">
        <v>564</v>
      </c>
      <c r="E24" s="125">
        <f>E18/(E6+E7+E8)</f>
        <v>1.8628023979086106</v>
      </c>
      <c r="F24" s="126"/>
      <c r="G24" s="344"/>
    </row>
    <row r="25" spans="1:7" s="219" customFormat="1" ht="16.5" thickBot="1" thickTop="1">
      <c r="A25" s="249"/>
      <c r="B25" s="249"/>
      <c r="C25" s="249"/>
      <c r="E25" s="249"/>
      <c r="F25" s="250"/>
      <c r="G25" s="344"/>
    </row>
    <row r="26" spans="1:7" s="127" customFormat="1" ht="21.75" customHeight="1" thickBot="1">
      <c r="A26" s="1321" t="s">
        <v>698</v>
      </c>
      <c r="B26" s="1322"/>
      <c r="C26" s="1322"/>
      <c r="D26" s="1322"/>
      <c r="E26" s="1322"/>
      <c r="F26" s="1323"/>
      <c r="G26" s="344"/>
    </row>
    <row r="27" spans="1:7" s="251" customFormat="1" ht="12.75">
      <c r="A27" s="252" t="s">
        <v>565</v>
      </c>
      <c r="B27" s="253"/>
      <c r="C27" s="254" t="s">
        <v>566</v>
      </c>
      <c r="D27" s="255" t="s">
        <v>567</v>
      </c>
      <c r="E27" s="256" t="s">
        <v>568</v>
      </c>
      <c r="F27" s="257" t="s">
        <v>569</v>
      </c>
      <c r="G27" s="344"/>
    </row>
    <row r="28" spans="1:7" s="251" customFormat="1" ht="15">
      <c r="A28" s="269">
        <f>E11</f>
        <v>0.12</v>
      </c>
      <c r="B28" s="258"/>
      <c r="C28" s="259" t="s">
        <v>570</v>
      </c>
      <c r="D28" s="260" t="s">
        <v>571</v>
      </c>
      <c r="E28" s="261" t="s">
        <v>572</v>
      </c>
      <c r="F28" s="262" t="s">
        <v>573</v>
      </c>
      <c r="G28" s="344"/>
    </row>
    <row r="29" spans="1:7" s="251" customFormat="1" ht="12.75">
      <c r="A29" s="263" t="s">
        <v>574</v>
      </c>
      <c r="B29" s="264"/>
      <c r="C29" s="265" t="s">
        <v>575</v>
      </c>
      <c r="D29" s="266" t="s">
        <v>576</v>
      </c>
      <c r="E29" s="267" t="s">
        <v>577</v>
      </c>
      <c r="F29" s="268"/>
      <c r="G29" s="344"/>
    </row>
    <row r="30" spans="1:7" s="219" customFormat="1" ht="19.5" customHeight="1">
      <c r="A30" s="240" t="s">
        <v>473</v>
      </c>
      <c r="B30" s="241"/>
      <c r="C30" s="242">
        <f>КЕШ!D29</f>
        <v>2.9103830456733704E-11</v>
      </c>
      <c r="D30" s="243">
        <f>1/(1+$E$11)^1</f>
        <v>0.8928571428571428</v>
      </c>
      <c r="E30" s="242">
        <f>C30*D30</f>
        <v>2.5985562907797948E-11</v>
      </c>
      <c r="F30" s="244" t="str">
        <f>F6</f>
        <v>грн.</v>
      </c>
      <c r="G30" s="344"/>
    </row>
    <row r="31" spans="1:7" s="219" customFormat="1" ht="19.5" customHeight="1">
      <c r="A31" s="240" t="s">
        <v>472</v>
      </c>
      <c r="B31" s="241"/>
      <c r="C31" s="242">
        <f>КЕШ!E29</f>
        <v>67165.38741102278</v>
      </c>
      <c r="D31" s="243">
        <f>1/(1+$E$11)^2</f>
        <v>0.7971938775510203</v>
      </c>
      <c r="E31" s="242">
        <f>C31*D31</f>
        <v>53543.83562740973</v>
      </c>
      <c r="F31" s="244" t="str">
        <f>F30</f>
        <v>грн.</v>
      </c>
      <c r="G31" s="344"/>
    </row>
    <row r="32" spans="1:7" s="219" customFormat="1" ht="19.5" customHeight="1">
      <c r="A32" s="240" t="s">
        <v>470</v>
      </c>
      <c r="B32" s="241"/>
      <c r="C32" s="242">
        <f>КЕШ!F29</f>
        <v>126842.39788591076</v>
      </c>
      <c r="D32" s="243">
        <f>1/(1+$E$11)^3</f>
        <v>0.7117802478134109</v>
      </c>
      <c r="E32" s="242">
        <f>C32*D32</f>
        <v>90283.91340048083</v>
      </c>
      <c r="F32" s="244" t="str">
        <f>F31</f>
        <v>грн.</v>
      </c>
      <c r="G32" s="344"/>
    </row>
    <row r="33" spans="1:7" s="219" customFormat="1" ht="19.5" customHeight="1">
      <c r="A33" s="240" t="s">
        <v>401</v>
      </c>
      <c r="B33" s="241"/>
      <c r="C33" s="242">
        <f>КЕШ!G29</f>
        <v>161032.30619689968</v>
      </c>
      <c r="D33" s="243">
        <f>1/(1+$E$11)^4</f>
        <v>0.6355180784048312</v>
      </c>
      <c r="E33" s="242">
        <f>C33*D33</f>
        <v>102338.94179535208</v>
      </c>
      <c r="F33" s="244" t="str">
        <f>F32</f>
        <v>грн.</v>
      </c>
      <c r="G33" s="344"/>
    </row>
    <row r="34" spans="1:7" s="219" customFormat="1" ht="19.5" customHeight="1">
      <c r="A34" s="240" t="s">
        <v>402</v>
      </c>
      <c r="B34" s="241"/>
      <c r="C34" s="242">
        <f>КЕШ!H29</f>
        <v>265613.21570122667</v>
      </c>
      <c r="D34" s="243">
        <f>1/(1+$E$11)^5</f>
        <v>0.5674268557185992</v>
      </c>
      <c r="E34" s="242">
        <f>C34*D34</f>
        <v>150716.07182265312</v>
      </c>
      <c r="F34" s="244" t="str">
        <f>F33</f>
        <v>грн.</v>
      </c>
      <c r="G34" s="344"/>
    </row>
    <row r="35" spans="1:7" s="219" customFormat="1" ht="19.5" customHeight="1" thickBot="1">
      <c r="A35" s="451" t="s">
        <v>619</v>
      </c>
      <c r="B35" s="452"/>
      <c r="C35" s="453">
        <f>SUM(C30:C34)</f>
        <v>620653.30719506</v>
      </c>
      <c r="D35" s="454"/>
      <c r="E35" s="455">
        <f>SUM(E30:E34)</f>
        <v>396882.76264589577</v>
      </c>
      <c r="F35" s="456" t="str">
        <f>F6</f>
        <v>грн.</v>
      </c>
      <c r="G35" s="344"/>
    </row>
    <row r="36" s="219" customFormat="1" ht="13.5" thickTop="1">
      <c r="G36" s="344"/>
    </row>
    <row r="37" spans="1:7" s="219" customFormat="1" ht="21.75" customHeight="1">
      <c r="A37" s="1319" t="s">
        <v>697</v>
      </c>
      <c r="B37" s="1319"/>
      <c r="C37" s="1319"/>
      <c r="D37" s="1319"/>
      <c r="E37" s="1319"/>
      <c r="F37" s="1320"/>
      <c r="G37" s="344"/>
    </row>
    <row r="38" s="219" customFormat="1" ht="12.75">
      <c r="G38" s="344"/>
    </row>
    <row r="39" spans="1:7" s="219" customFormat="1" ht="15.75">
      <c r="A39" s="401" t="s">
        <v>309</v>
      </c>
      <c r="B39" s="402"/>
      <c r="C39" s="402"/>
      <c r="D39" s="402"/>
      <c r="E39" s="402"/>
      <c r="F39" s="402"/>
      <c r="G39" s="344"/>
    </row>
    <row r="40" spans="1:7" s="219" customFormat="1" ht="15.75">
      <c r="A40" s="401" t="s">
        <v>386</v>
      </c>
      <c r="B40" s="402"/>
      <c r="C40" s="402"/>
      <c r="D40" s="402"/>
      <c r="E40" s="402"/>
      <c r="F40" s="402"/>
      <c r="G40" s="344"/>
    </row>
    <row r="41" spans="1:7" s="219" customFormat="1" ht="15.75">
      <c r="A41" s="401" t="s">
        <v>385</v>
      </c>
      <c r="B41" s="402"/>
      <c r="C41" s="402"/>
      <c r="D41" s="402"/>
      <c r="E41" s="402"/>
      <c r="F41" s="402"/>
      <c r="G41" s="344"/>
    </row>
    <row r="42" s="219" customFormat="1" ht="12.75">
      <c r="G42" s="344"/>
    </row>
    <row r="43" spans="1:7" s="219" customFormat="1" ht="60" customHeight="1">
      <c r="A43" s="344"/>
      <c r="B43" s="344"/>
      <c r="C43" s="344"/>
      <c r="D43" s="344"/>
      <c r="E43" s="344"/>
      <c r="F43" s="344"/>
      <c r="G43" s="344"/>
    </row>
    <row r="44" s="219" customFormat="1" ht="12.75"/>
    <row r="45" s="219" customFormat="1" ht="12.75"/>
    <row r="46" s="219" customFormat="1" ht="12.75"/>
    <row r="47" s="219" customFormat="1" ht="12.75"/>
    <row r="48" s="219" customFormat="1" ht="12.75"/>
    <row r="49" spans="1:6" s="219" customFormat="1" ht="12.75">
      <c r="A49" s="48"/>
      <c r="B49" s="48"/>
      <c r="C49" s="48"/>
      <c r="D49" s="48"/>
      <c r="E49" s="48"/>
      <c r="F49" s="48"/>
    </row>
    <row r="50" spans="1:6" s="219" customFormat="1" ht="12.75">
      <c r="A50" s="48"/>
      <c r="B50" s="48"/>
      <c r="C50" s="48"/>
      <c r="D50" s="48"/>
      <c r="E50" s="48"/>
      <c r="F50" s="48"/>
    </row>
    <row r="51" spans="1:6" s="219" customFormat="1" ht="12.75">
      <c r="A51" s="48"/>
      <c r="B51" s="48"/>
      <c r="C51" s="48"/>
      <c r="D51" s="48"/>
      <c r="E51" s="48"/>
      <c r="F51" s="48"/>
    </row>
    <row r="52" spans="1:6" s="219" customFormat="1" ht="12.75">
      <c r="A52" s="48"/>
      <c r="B52" s="48"/>
      <c r="C52" s="48"/>
      <c r="D52" s="48"/>
      <c r="E52" s="48"/>
      <c r="F52" s="48"/>
    </row>
    <row r="53" spans="1:6" s="219" customFormat="1" ht="12.75">
      <c r="A53" s="48"/>
      <c r="B53" s="48"/>
      <c r="C53" s="48"/>
      <c r="D53" s="48"/>
      <c r="E53" s="48"/>
      <c r="F53" s="48"/>
    </row>
    <row r="54" spans="1:6" s="219" customFormat="1" ht="12.75">
      <c r="A54" s="48"/>
      <c r="B54" s="48"/>
      <c r="C54" s="48"/>
      <c r="D54" s="48"/>
      <c r="E54" s="48"/>
      <c r="F54" s="48"/>
    </row>
  </sheetData>
  <sheetProtection/>
  <mergeCells count="7">
    <mergeCell ref="A2:F2"/>
    <mergeCell ref="A37:F37"/>
    <mergeCell ref="A5:F5"/>
    <mergeCell ref="A16:F16"/>
    <mergeCell ref="A26:F26"/>
    <mergeCell ref="E12:F12"/>
    <mergeCell ref="E13:F13"/>
  </mergeCells>
  <printOptions horizontalCentered="1"/>
  <pageMargins left="0.69" right="0.23" top="0.6" bottom="0.4724409448818898" header="0.5118110236220472" footer="0.4724409448818898"/>
  <pageSetup fitToHeight="1" fitToWidth="1"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="75" zoomScaleNormal="75" zoomScalePageLayoutView="0" workbookViewId="0" topLeftCell="A1">
      <selection activeCell="J1" sqref="J1"/>
    </sheetView>
  </sheetViews>
  <sheetFormatPr defaultColWidth="8.875" defaultRowHeight="12.75"/>
  <cols>
    <col min="1" max="1" width="20.25390625" style="292" customWidth="1"/>
    <col min="2" max="2" width="12.375" style="292" customWidth="1"/>
    <col min="3" max="3" width="11.875" style="292" customWidth="1"/>
    <col min="4" max="6" width="12.75390625" style="292" customWidth="1"/>
    <col min="7" max="7" width="12.375" style="292" customWidth="1"/>
    <col min="8" max="8" width="13.125" style="292" customWidth="1"/>
    <col min="9" max="9" width="11.75390625" style="292" hidden="1" customWidth="1"/>
    <col min="10" max="10" width="24.75390625" style="308" customWidth="1"/>
    <col min="11" max="11" width="8.875" style="292" customWidth="1"/>
    <col min="12" max="12" width="13.875" style="292" customWidth="1"/>
    <col min="13" max="16384" width="8.875" style="292" customWidth="1"/>
  </cols>
  <sheetData>
    <row r="1" spans="1:10" ht="20.25">
      <c r="A1" s="1328" t="s">
        <v>806</v>
      </c>
      <c r="B1" s="1328"/>
      <c r="C1" s="1328"/>
      <c r="D1" s="1328"/>
      <c r="E1" s="1328"/>
      <c r="F1" s="1328"/>
      <c r="G1" s="1328"/>
      <c r="H1" s="1328"/>
      <c r="J1" s="362"/>
    </row>
    <row r="2" ht="15">
      <c r="J2" s="362"/>
    </row>
    <row r="3" spans="1:10" ht="15">
      <c r="A3" s="292" t="s">
        <v>578</v>
      </c>
      <c r="J3" s="362"/>
    </row>
    <row r="4" spans="1:10" ht="15">
      <c r="A4" s="292" t="s">
        <v>579</v>
      </c>
      <c r="J4" s="362"/>
    </row>
    <row r="5" spans="1:10" ht="15">
      <c r="A5" s="292" t="s">
        <v>580</v>
      </c>
      <c r="J5" s="362"/>
    </row>
    <row r="6" ht="3.75" customHeight="1">
      <c r="J6" s="362"/>
    </row>
    <row r="7" spans="1:10" ht="15">
      <c r="A7" s="309" t="s">
        <v>581</v>
      </c>
      <c r="J7" s="362"/>
    </row>
    <row r="8" spans="1:10" ht="15">
      <c r="A8" s="309" t="s">
        <v>582</v>
      </c>
      <c r="J8" s="362"/>
    </row>
    <row r="9" spans="1:10" ht="15.75">
      <c r="A9" s="309" t="s">
        <v>586</v>
      </c>
      <c r="J9" s="362"/>
    </row>
    <row r="10" spans="1:10" ht="15">
      <c r="A10" s="292" t="s">
        <v>807</v>
      </c>
      <c r="J10" s="362"/>
    </row>
    <row r="11" ht="3.75" customHeight="1">
      <c r="J11" s="362"/>
    </row>
    <row r="12" spans="1:10" ht="15.75">
      <c r="A12" s="309" t="s">
        <v>587</v>
      </c>
      <c r="J12" s="362"/>
    </row>
    <row r="13" spans="1:10" ht="15">
      <c r="A13" s="292" t="s">
        <v>649</v>
      </c>
      <c r="J13" s="362"/>
    </row>
    <row r="14" ht="5.25" customHeight="1">
      <c r="J14" s="362"/>
    </row>
    <row r="15" spans="1:10" ht="15.75">
      <c r="A15" s="309" t="s">
        <v>588</v>
      </c>
      <c r="J15" s="362"/>
    </row>
    <row r="16" spans="1:10" ht="15.75">
      <c r="A16" s="310" t="s">
        <v>808</v>
      </c>
      <c r="J16" s="362"/>
    </row>
    <row r="17" spans="1:10" ht="15">
      <c r="A17" s="292" t="s">
        <v>809</v>
      </c>
      <c r="J17" s="362"/>
    </row>
    <row r="18" ht="3.75" customHeight="1">
      <c r="J18" s="362"/>
    </row>
    <row r="19" spans="1:10" ht="15.75">
      <c r="A19" s="1327" t="s">
        <v>589</v>
      </c>
      <c r="B19" s="1327"/>
      <c r="C19" s="1327"/>
      <c r="D19" s="1327"/>
      <c r="E19" s="1327"/>
      <c r="F19" s="1327"/>
      <c r="G19" s="1327"/>
      <c r="H19" s="1327"/>
      <c r="J19" s="362"/>
    </row>
    <row r="20" spans="1:10" ht="15">
      <c r="A20" s="292" t="s">
        <v>583</v>
      </c>
      <c r="J20" s="362"/>
    </row>
    <row r="21" ht="6" customHeight="1">
      <c r="J21" s="362"/>
    </row>
    <row r="22" spans="1:10" ht="15">
      <c r="A22" s="1327" t="s">
        <v>584</v>
      </c>
      <c r="B22" s="1327"/>
      <c r="C22" s="1327"/>
      <c r="D22" s="1327"/>
      <c r="E22" s="1327"/>
      <c r="F22" s="1327"/>
      <c r="G22" s="1327"/>
      <c r="H22" s="1327"/>
      <c r="J22" s="362"/>
    </row>
    <row r="23" spans="1:10" ht="15.75">
      <c r="A23" s="309" t="s">
        <v>590</v>
      </c>
      <c r="J23" s="362"/>
    </row>
    <row r="24" spans="1:10" ht="15">
      <c r="A24" s="292" t="s">
        <v>907</v>
      </c>
      <c r="J24" s="362"/>
    </row>
    <row r="25" spans="1:10" ht="15">
      <c r="A25" s="292" t="s">
        <v>908</v>
      </c>
      <c r="J25" s="362"/>
    </row>
    <row r="26" spans="5:10" ht="15">
      <c r="E26" s="293"/>
      <c r="H26" s="443" t="s">
        <v>810</v>
      </c>
      <c r="J26" s="362"/>
    </row>
    <row r="27" spans="1:10" ht="16.5" thickBot="1">
      <c r="A27" s="311" t="s">
        <v>362</v>
      </c>
      <c r="B27" s="294"/>
      <c r="C27" s="294"/>
      <c r="D27" s="294"/>
      <c r="E27" s="294"/>
      <c r="F27" s="294"/>
      <c r="G27" s="295"/>
      <c r="H27" s="296"/>
      <c r="J27" s="362"/>
    </row>
    <row r="28" spans="1:12" ht="16.5" thickBot="1">
      <c r="A28" s="128" t="s">
        <v>353</v>
      </c>
      <c r="B28" s="424" t="s">
        <v>355</v>
      </c>
      <c r="C28" s="424" t="s">
        <v>909</v>
      </c>
      <c r="D28" s="424" t="s">
        <v>910</v>
      </c>
      <c r="E28" s="424">
        <v>-0.09</v>
      </c>
      <c r="F28" s="129">
        <v>-0.12</v>
      </c>
      <c r="G28" s="129">
        <v>-0.15</v>
      </c>
      <c r="H28" s="1047" t="s">
        <v>911</v>
      </c>
      <c r="J28" s="362"/>
      <c r="K28" s="1326" t="s">
        <v>352</v>
      </c>
      <c r="L28" s="1326"/>
    </row>
    <row r="29" spans="1:12" ht="25.5">
      <c r="A29" s="441" t="s">
        <v>356</v>
      </c>
      <c r="B29" s="433">
        <v>396882.76264589577</v>
      </c>
      <c r="C29" s="433">
        <v>352573.5176044572</v>
      </c>
      <c r="D29" s="434">
        <v>308264.2725630188</v>
      </c>
      <c r="E29" s="434">
        <v>263955.02752158034</v>
      </c>
      <c r="F29" s="434">
        <v>219645.78248014176</v>
      </c>
      <c r="G29" s="434">
        <v>175336.5374387033</v>
      </c>
      <c r="H29" s="433">
        <v>-8.003553375601768E-11</v>
      </c>
      <c r="J29" s="362"/>
      <c r="K29" s="444" t="s">
        <v>554</v>
      </c>
      <c r="L29" s="425">
        <f>ЕФ!E19</f>
        <v>396882.76264589577</v>
      </c>
    </row>
    <row r="30" spans="1:12" ht="25.5">
      <c r="A30" s="441" t="s">
        <v>357</v>
      </c>
      <c r="B30" s="433">
        <v>620653.30719506</v>
      </c>
      <c r="C30" s="433">
        <v>554846.1031888097</v>
      </c>
      <c r="D30" s="433">
        <v>489038.8991825599</v>
      </c>
      <c r="E30" s="433">
        <v>423231.69517631</v>
      </c>
      <c r="F30" s="434">
        <v>357424.4911700599</v>
      </c>
      <c r="G30" s="434">
        <v>291617.28716381</v>
      </c>
      <c r="H30" s="433">
        <v>32888.244368025305</v>
      </c>
      <c r="J30" s="362"/>
      <c r="K30" s="445" t="s">
        <v>550</v>
      </c>
      <c r="L30" s="425">
        <f>ЕФ!E17</f>
        <v>620653.30719506</v>
      </c>
    </row>
    <row r="31" spans="1:12" ht="25.5">
      <c r="A31" s="441" t="s">
        <v>358</v>
      </c>
      <c r="B31" s="436">
        <v>0.34102746037379983</v>
      </c>
      <c r="C31" s="436">
        <v>0.31324354641387564</v>
      </c>
      <c r="D31" s="437">
        <v>0.2851262640954897</v>
      </c>
      <c r="E31" s="437">
        <v>0.2566695772703768</v>
      </c>
      <c r="F31" s="437">
        <v>0.2278673031803739</v>
      </c>
      <c r="G31" s="437">
        <v>0.19871310797903122</v>
      </c>
      <c r="H31" s="436">
        <v>0.08481382687448866</v>
      </c>
      <c r="J31" s="362"/>
      <c r="K31" s="444" t="s">
        <v>560</v>
      </c>
      <c r="L31" s="426">
        <f>ЕФ!E22</f>
        <v>0.34102746037379983</v>
      </c>
    </row>
    <row r="32" spans="1:12" ht="25.5">
      <c r="A32" s="441" t="s">
        <v>359</v>
      </c>
      <c r="B32" s="436">
        <v>0.33471930730910615</v>
      </c>
      <c r="C32" s="436">
        <v>0.30961853039376946</v>
      </c>
      <c r="D32" s="437">
        <v>0.28358160326196563</v>
      </c>
      <c r="E32" s="437">
        <v>0.2565008275406248</v>
      </c>
      <c r="F32" s="437">
        <v>0.22824690804331</v>
      </c>
      <c r="G32" s="437">
        <v>0.19866250531916912</v>
      </c>
      <c r="H32" s="436">
        <v>0.06436172495682972</v>
      </c>
      <c r="J32" s="362"/>
      <c r="K32" s="444" t="s">
        <v>562</v>
      </c>
      <c r="L32" s="426">
        <f>ЕФ!E23</f>
        <v>0.33471930730910615</v>
      </c>
    </row>
    <row r="33" spans="1:12" ht="25.5">
      <c r="A33" s="441" t="s">
        <v>360</v>
      </c>
      <c r="B33" s="439">
        <v>1.8628023979086106</v>
      </c>
      <c r="C33" s="439">
        <v>1.7664764133372353</v>
      </c>
      <c r="D33" s="439">
        <v>1.67015042876586</v>
      </c>
      <c r="E33" s="439">
        <v>1.5738244441944849</v>
      </c>
      <c r="F33" s="439">
        <v>1.4774984596231093</v>
      </c>
      <c r="G33" s="439">
        <v>1.3811724750517345</v>
      </c>
      <c r="H33" s="439">
        <v>1</v>
      </c>
      <c r="J33" s="362"/>
      <c r="K33" s="444" t="s">
        <v>564</v>
      </c>
      <c r="L33" s="446">
        <f>ЕФ!E24</f>
        <v>1.8628023979086106</v>
      </c>
    </row>
    <row r="34" spans="1:10" ht="34.5" customHeight="1">
      <c r="A34" s="312" t="s">
        <v>812</v>
      </c>
      <c r="B34" s="312"/>
      <c r="C34" s="313"/>
      <c r="D34" s="313"/>
      <c r="E34" s="313"/>
      <c r="F34" s="313"/>
      <c r="G34" s="313"/>
      <c r="H34" s="314"/>
      <c r="J34" s="362"/>
    </row>
    <row r="35" spans="1:10" ht="15">
      <c r="A35" s="292" t="s">
        <v>912</v>
      </c>
      <c r="J35" s="362"/>
    </row>
    <row r="36" spans="1:10" ht="15">
      <c r="A36" s="292" t="s">
        <v>913</v>
      </c>
      <c r="J36" s="362"/>
    </row>
    <row r="37" spans="1:10" ht="15">
      <c r="A37" s="428"/>
      <c r="B37" s="428"/>
      <c r="C37" s="429"/>
      <c r="D37" s="428"/>
      <c r="E37" s="428"/>
      <c r="F37" s="316"/>
      <c r="G37" s="316"/>
      <c r="H37" s="442" t="s">
        <v>811</v>
      </c>
      <c r="J37" s="362"/>
    </row>
    <row r="38" spans="1:10" ht="16.5" thickBot="1">
      <c r="A38" s="311" t="s">
        <v>361</v>
      </c>
      <c r="B38" s="294"/>
      <c r="C38" s="294"/>
      <c r="D38" s="294"/>
      <c r="E38" s="294"/>
      <c r="F38" s="294"/>
      <c r="G38" s="295"/>
      <c r="H38" s="296"/>
      <c r="J38" s="362"/>
    </row>
    <row r="39" spans="1:10" ht="15">
      <c r="A39" s="430" t="s">
        <v>354</v>
      </c>
      <c r="B39" s="431" t="s">
        <v>355</v>
      </c>
      <c r="C39" s="431" t="s">
        <v>716</v>
      </c>
      <c r="D39" s="431" t="s">
        <v>717</v>
      </c>
      <c r="E39" s="431">
        <v>-0.03</v>
      </c>
      <c r="F39" s="431">
        <v>-0.04</v>
      </c>
      <c r="G39" s="432">
        <v>-0.05</v>
      </c>
      <c r="H39" s="474">
        <v>-0.06</v>
      </c>
      <c r="J39" s="362"/>
    </row>
    <row r="40" spans="1:10" ht="25.5">
      <c r="A40" s="441" t="s">
        <v>356</v>
      </c>
      <c r="B40" s="433">
        <v>396882.76264589577</v>
      </c>
      <c r="C40" s="433">
        <v>405364.2869840476</v>
      </c>
      <c r="D40" s="434">
        <v>413845.8113221991</v>
      </c>
      <c r="E40" s="435">
        <v>422327.33566035086</v>
      </c>
      <c r="F40" s="435">
        <v>430808.85999850254</v>
      </c>
      <c r="G40" s="434">
        <v>439290.3843366542</v>
      </c>
      <c r="H40" s="433">
        <v>447771.9086748059</v>
      </c>
      <c r="J40" s="362"/>
    </row>
    <row r="41" spans="1:10" ht="25.5">
      <c r="A41" s="441" t="s">
        <v>357</v>
      </c>
      <c r="B41" s="433">
        <v>620653.30719506</v>
      </c>
      <c r="C41" s="433">
        <v>633198.3485048602</v>
      </c>
      <c r="D41" s="433">
        <v>645743.38981466</v>
      </c>
      <c r="E41" s="433">
        <v>658288.43112446</v>
      </c>
      <c r="F41" s="433">
        <v>670833.47243426</v>
      </c>
      <c r="G41" s="434">
        <v>683378.51374406</v>
      </c>
      <c r="H41" s="433">
        <v>695923.55505386</v>
      </c>
      <c r="J41" s="362"/>
    </row>
    <row r="42" spans="1:10" ht="25.5">
      <c r="A42" s="441" t="s">
        <v>358</v>
      </c>
      <c r="B42" s="436">
        <v>0.34102746037379983</v>
      </c>
      <c r="C42" s="436">
        <v>0.34864804565781315</v>
      </c>
      <c r="D42" s="437">
        <v>0.356355736117532</v>
      </c>
      <c r="E42" s="438">
        <v>0.36415203378784383</v>
      </c>
      <c r="F42" s="438">
        <v>0.3720384754379184</v>
      </c>
      <c r="G42" s="437">
        <v>0.3800166335810761</v>
      </c>
      <c r="H42" s="436">
        <v>0.3880881175200951</v>
      </c>
      <c r="J42" s="362"/>
    </row>
    <row r="43" spans="1:10" ht="25.5">
      <c r="A43" s="441" t="s">
        <v>359</v>
      </c>
      <c r="B43" s="436">
        <v>0.33471930730910615</v>
      </c>
      <c r="C43" s="436">
        <v>0.33945479040543236</v>
      </c>
      <c r="D43" s="437">
        <v>0.344160657458222</v>
      </c>
      <c r="E43" s="438">
        <v>0.3488374372485523</v>
      </c>
      <c r="F43" s="438">
        <v>0.35348564341014815</v>
      </c>
      <c r="G43" s="437">
        <v>0.358105775020262</v>
      </c>
      <c r="H43" s="436">
        <v>0.3626983171615593</v>
      </c>
      <c r="J43" s="362"/>
    </row>
    <row r="44" spans="1:10" ht="25.5">
      <c r="A44" s="441" t="s">
        <v>360</v>
      </c>
      <c r="B44" s="439">
        <v>1.8628023979086106</v>
      </c>
      <c r="C44" s="439">
        <v>1.8812407888533107</v>
      </c>
      <c r="D44" s="439">
        <v>1.89967917979801</v>
      </c>
      <c r="E44" s="440">
        <v>1.91811757074271</v>
      </c>
      <c r="F44" s="440">
        <v>1.9365559616874097</v>
      </c>
      <c r="G44" s="439">
        <v>1.9549943526321096</v>
      </c>
      <c r="H44" s="439">
        <v>1.9734327435768093</v>
      </c>
      <c r="J44" s="362"/>
    </row>
    <row r="45" spans="1:10" ht="15">
      <c r="A45" s="312" t="s">
        <v>723</v>
      </c>
      <c r="B45" s="298"/>
      <c r="C45" s="315"/>
      <c r="D45" s="298"/>
      <c r="E45" s="298"/>
      <c r="J45" s="362"/>
    </row>
    <row r="46" spans="1:10" ht="18.75" customHeight="1">
      <c r="A46" s="1327" t="s">
        <v>650</v>
      </c>
      <c r="B46" s="1327"/>
      <c r="C46" s="1327"/>
      <c r="D46" s="1327"/>
      <c r="E46" s="1327"/>
      <c r="F46" s="1327"/>
      <c r="G46" s="1327"/>
      <c r="H46" s="1327"/>
      <c r="J46" s="362"/>
    </row>
    <row r="47" spans="1:10" ht="15">
      <c r="A47" s="316" t="s">
        <v>813</v>
      </c>
      <c r="B47" s="316"/>
      <c r="C47" s="316"/>
      <c r="D47" s="316"/>
      <c r="E47" s="316"/>
      <c r="F47" s="316"/>
      <c r="G47" s="316"/>
      <c r="H47" s="316"/>
      <c r="J47" s="362"/>
    </row>
    <row r="48" spans="1:10" ht="3.75" customHeight="1">
      <c r="A48" s="316"/>
      <c r="B48" s="316"/>
      <c r="C48" s="316"/>
      <c r="D48" s="316"/>
      <c r="E48" s="316"/>
      <c r="F48" s="316"/>
      <c r="G48" s="316"/>
      <c r="H48" s="316"/>
      <c r="J48" s="362"/>
    </row>
    <row r="49" spans="1:10" ht="15.75">
      <c r="A49" s="1327" t="s">
        <v>591</v>
      </c>
      <c r="B49" s="1327"/>
      <c r="C49" s="1327"/>
      <c r="D49" s="1327"/>
      <c r="E49" s="1327"/>
      <c r="F49" s="1327"/>
      <c r="G49" s="1327"/>
      <c r="H49" s="1327"/>
      <c r="J49" s="362"/>
    </row>
    <row r="50" spans="1:10" ht="15">
      <c r="A50" s="298" t="s">
        <v>718</v>
      </c>
      <c r="B50" s="298"/>
      <c r="C50" s="315"/>
      <c r="D50" s="298"/>
      <c r="E50" s="298"/>
      <c r="J50" s="362"/>
    </row>
    <row r="51" spans="1:10" ht="15">
      <c r="A51" s="316" t="s">
        <v>814</v>
      </c>
      <c r="B51" s="316"/>
      <c r="C51" s="316"/>
      <c r="D51" s="316"/>
      <c r="E51" s="316"/>
      <c r="F51" s="316"/>
      <c r="G51" s="316"/>
      <c r="H51" s="316"/>
      <c r="J51" s="362"/>
    </row>
    <row r="52" spans="1:10" ht="6" customHeight="1">
      <c r="A52" s="316"/>
      <c r="B52" s="316"/>
      <c r="C52" s="316"/>
      <c r="D52" s="316"/>
      <c r="E52" s="316"/>
      <c r="F52" s="316"/>
      <c r="G52" s="316"/>
      <c r="H52" s="316"/>
      <c r="J52" s="362"/>
    </row>
    <row r="53" spans="1:10" ht="15.75">
      <c r="A53" s="475" t="s">
        <v>724</v>
      </c>
      <c r="B53" s="476"/>
      <c r="C53" s="476"/>
      <c r="D53" s="476"/>
      <c r="E53" s="476"/>
      <c r="F53" s="476"/>
      <c r="G53" s="476"/>
      <c r="H53" s="476"/>
      <c r="I53" s="317"/>
      <c r="J53" s="363"/>
    </row>
    <row r="54" spans="1:10" ht="15">
      <c r="A54" s="362"/>
      <c r="B54" s="362"/>
      <c r="C54" s="362"/>
      <c r="D54" s="362"/>
      <c r="E54" s="362"/>
      <c r="F54" s="362"/>
      <c r="G54" s="362"/>
      <c r="H54" s="362"/>
      <c r="I54" s="362"/>
      <c r="J54" s="362"/>
    </row>
    <row r="55" spans="1:10" ht="15">
      <c r="A55" s="362"/>
      <c r="B55" s="362"/>
      <c r="C55" s="362"/>
      <c r="D55" s="362"/>
      <c r="E55" s="362"/>
      <c r="F55" s="362"/>
      <c r="G55" s="362"/>
      <c r="H55" s="362"/>
      <c r="I55" s="362"/>
      <c r="J55" s="362"/>
    </row>
    <row r="56" spans="1:10" ht="15">
      <c r="A56" s="362"/>
      <c r="B56" s="362"/>
      <c r="C56" s="362"/>
      <c r="D56" s="362"/>
      <c r="E56" s="362"/>
      <c r="F56" s="362"/>
      <c r="G56" s="362"/>
      <c r="H56" s="362"/>
      <c r="I56" s="362"/>
      <c r="J56" s="362"/>
    </row>
    <row r="57" spans="1:10" ht="15">
      <c r="A57" s="362"/>
      <c r="B57" s="362"/>
      <c r="C57" s="362"/>
      <c r="D57" s="362"/>
      <c r="E57" s="362"/>
      <c r="F57" s="362"/>
      <c r="G57" s="362"/>
      <c r="H57" s="362"/>
      <c r="I57" s="362"/>
      <c r="J57" s="362"/>
    </row>
  </sheetData>
  <sheetProtection/>
  <mergeCells count="6">
    <mergeCell ref="K28:L28"/>
    <mergeCell ref="A49:H49"/>
    <mergeCell ref="A46:H46"/>
    <mergeCell ref="A1:H1"/>
    <mergeCell ref="A22:H22"/>
    <mergeCell ref="A19:H19"/>
  </mergeCells>
  <printOptions horizontalCentered="1"/>
  <pageMargins left="0.89" right="0.33" top="0.86" bottom="0.5" header="0.54" footer="0.5118110236220472"/>
  <pageSetup fitToHeight="1" fitToWidth="1" horizontalDpi="120" verticalDpi="120" orientation="portrait" paperSize="9" scale="8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="75" zoomScaleNormal="75" zoomScaleSheetLayoutView="75" zoomScalePageLayoutView="0" workbookViewId="0" topLeftCell="A1">
      <selection activeCell="H27" sqref="H27"/>
    </sheetView>
  </sheetViews>
  <sheetFormatPr defaultColWidth="9.00390625" defaultRowHeight="12.75"/>
  <cols>
    <col min="1" max="1" width="5.625" style="318" customWidth="1"/>
    <col min="2" max="2" width="35.875" style="318" customWidth="1"/>
    <col min="3" max="7" width="27.75390625" style="318" customWidth="1"/>
    <col min="8" max="8" width="39.25390625" style="318" customWidth="1"/>
    <col min="9" max="16384" width="9.125" style="318" customWidth="1"/>
  </cols>
  <sheetData>
    <row r="1" spans="1:8" ht="24.75" customHeight="1">
      <c r="A1" s="1329" t="s">
        <v>700</v>
      </c>
      <c r="B1" s="1329"/>
      <c r="C1" s="1329"/>
      <c r="D1" s="1329"/>
      <c r="E1" s="1329"/>
      <c r="F1" s="1329"/>
      <c r="G1" s="1329"/>
      <c r="H1" s="360"/>
    </row>
    <row r="2" spans="1:8" ht="15.75">
      <c r="A2" s="901" t="s">
        <v>387</v>
      </c>
      <c r="G2" s="406" t="s">
        <v>815</v>
      </c>
      <c r="H2" s="360"/>
    </row>
    <row r="3" spans="1:8" ht="8.25" customHeight="1" thickBot="1">
      <c r="A3" s="324"/>
      <c r="B3" s="325"/>
      <c r="C3" s="326"/>
      <c r="D3" s="326"/>
      <c r="E3" s="326"/>
      <c r="F3" s="326"/>
      <c r="G3" s="326"/>
      <c r="H3" s="360"/>
    </row>
    <row r="4" spans="1:8" s="332" customFormat="1" ht="18">
      <c r="A4" s="407" t="s">
        <v>437</v>
      </c>
      <c r="B4" s="467" t="s">
        <v>620</v>
      </c>
      <c r="C4" s="403" t="s">
        <v>451</v>
      </c>
      <c r="D4" s="403" t="s">
        <v>452</v>
      </c>
      <c r="E4" s="403" t="s">
        <v>453</v>
      </c>
      <c r="F4" s="403" t="s">
        <v>411</v>
      </c>
      <c r="G4" s="403" t="s">
        <v>412</v>
      </c>
      <c r="H4" s="360"/>
    </row>
    <row r="5" spans="1:8" s="332" customFormat="1" ht="18.75" thickBot="1">
      <c r="A5" s="408" t="s">
        <v>438</v>
      </c>
      <c r="B5" s="333"/>
      <c r="C5" s="404" t="s">
        <v>410</v>
      </c>
      <c r="D5" s="404" t="s">
        <v>410</v>
      </c>
      <c r="E5" s="404" t="s">
        <v>410</v>
      </c>
      <c r="F5" s="404" t="s">
        <v>410</v>
      </c>
      <c r="G5" s="404" t="s">
        <v>410</v>
      </c>
      <c r="H5" s="360"/>
    </row>
    <row r="6" spans="1:8" s="335" customFormat="1" ht="18" customHeight="1">
      <c r="A6" s="409">
        <v>1</v>
      </c>
      <c r="B6" s="334" t="s">
        <v>602</v>
      </c>
      <c r="C6" s="469">
        <v>0</v>
      </c>
      <c r="D6" s="469">
        <f>ДОХ!C22</f>
        <v>678580</v>
      </c>
      <c r="E6" s="469">
        <f>ДОХ!D22</f>
        <v>712509</v>
      </c>
      <c r="F6" s="469">
        <f>ДОХ!E22</f>
        <v>748134.4500000001</v>
      </c>
      <c r="G6" s="469">
        <f>ДОХ!F22</f>
        <v>785541.1725000001</v>
      </c>
      <c r="H6" s="360"/>
    </row>
    <row r="7" spans="1:8" s="405" customFormat="1" ht="18" customHeight="1">
      <c r="A7" s="409">
        <v>2</v>
      </c>
      <c r="B7" s="400" t="s">
        <v>701</v>
      </c>
      <c r="C7" s="470">
        <f>КЕШ!D6+КЕШ!D8+КЕШ!D9</f>
        <v>459992.65139726026</v>
      </c>
      <c r="D7" s="468">
        <v>0</v>
      </c>
      <c r="E7" s="468">
        <v>0</v>
      </c>
      <c r="F7" s="468">
        <v>0</v>
      </c>
      <c r="G7" s="468">
        <v>0</v>
      </c>
      <c r="H7" s="360"/>
    </row>
    <row r="8" spans="1:8" ht="18" customHeight="1" thickBot="1">
      <c r="A8" s="410">
        <v>3</v>
      </c>
      <c r="B8" s="399" t="s">
        <v>702</v>
      </c>
      <c r="C8" s="471">
        <f>КЕШ!D13+КЕШ!D17</f>
        <v>13264.460287780763</v>
      </c>
      <c r="D8" s="471">
        <f>КЕШ!E13+КЕШ!E17</f>
        <v>496085.1552331322</v>
      </c>
      <c r="E8" s="471">
        <f>КЕШ!F13+КЕШ!F17</f>
        <v>471687.4515436425</v>
      </c>
      <c r="F8" s="471">
        <f>КЕШ!G13+КЕШ!G17</f>
        <v>460835.63198759843</v>
      </c>
      <c r="G8" s="471">
        <f>КЕШ!H13+КЕШ!H17</f>
        <v>457629.2976489062</v>
      </c>
      <c r="H8" s="360"/>
    </row>
    <row r="9" spans="1:8" ht="13.5" thickTop="1">
      <c r="A9" s="337"/>
      <c r="B9" s="337"/>
      <c r="C9" s="338"/>
      <c r="D9" s="338"/>
      <c r="E9" s="338"/>
      <c r="F9" s="338"/>
      <c r="G9" s="338"/>
      <c r="H9" s="360"/>
    </row>
    <row r="10" spans="1:8" ht="15.75">
      <c r="A10" s="901" t="s">
        <v>389</v>
      </c>
      <c r="B10" s="901"/>
      <c r="C10" s="901"/>
      <c r="D10" s="901"/>
      <c r="E10" s="901"/>
      <c r="F10" s="901"/>
      <c r="G10" s="406" t="s">
        <v>816</v>
      </c>
      <c r="H10" s="360"/>
    </row>
    <row r="11" spans="1:8" ht="13.5" thickBot="1">
      <c r="A11" s="337"/>
      <c r="B11" s="337"/>
      <c r="C11" s="338"/>
      <c r="D11" s="338"/>
      <c r="E11" s="338"/>
      <c r="F11" s="338"/>
      <c r="G11" s="338"/>
      <c r="H11" s="360"/>
    </row>
    <row r="12" spans="1:8" s="332" customFormat="1" ht="18">
      <c r="A12" s="407" t="s">
        <v>437</v>
      </c>
      <c r="B12" s="467" t="s">
        <v>620</v>
      </c>
      <c r="C12" s="403" t="s">
        <v>451</v>
      </c>
      <c r="D12" s="403" t="s">
        <v>452</v>
      </c>
      <c r="E12" s="403" t="s">
        <v>453</v>
      </c>
      <c r="F12" s="403" t="s">
        <v>411</v>
      </c>
      <c r="G12" s="403" t="s">
        <v>412</v>
      </c>
      <c r="H12" s="360"/>
    </row>
    <row r="13" spans="1:8" s="332" customFormat="1" ht="18.75" thickBot="1">
      <c r="A13" s="408" t="s">
        <v>438</v>
      </c>
      <c r="B13" s="333"/>
      <c r="C13" s="404" t="s">
        <v>410</v>
      </c>
      <c r="D13" s="404" t="s">
        <v>410</v>
      </c>
      <c r="E13" s="404" t="s">
        <v>410</v>
      </c>
      <c r="F13" s="404" t="s">
        <v>410</v>
      </c>
      <c r="G13" s="404" t="s">
        <v>410</v>
      </c>
      <c r="H13" s="360"/>
    </row>
    <row r="14" spans="1:8" ht="15.75">
      <c r="A14" s="411">
        <v>1</v>
      </c>
      <c r="B14" s="339" t="s">
        <v>602</v>
      </c>
      <c r="C14" s="472">
        <f>C6</f>
        <v>0</v>
      </c>
      <c r="D14" s="472">
        <f>C14+D6</f>
        <v>678580</v>
      </c>
      <c r="E14" s="472">
        <f>D14+E6</f>
        <v>1391089</v>
      </c>
      <c r="F14" s="472">
        <f>E14+F6</f>
        <v>2139223.45</v>
      </c>
      <c r="G14" s="472">
        <f>F14+G6</f>
        <v>2924764.6225000005</v>
      </c>
      <c r="H14" s="360"/>
    </row>
    <row r="15" spans="1:8" ht="16.5" thickBot="1">
      <c r="A15" s="412">
        <v>2</v>
      </c>
      <c r="B15" s="336" t="s">
        <v>722</v>
      </c>
      <c r="C15" s="473">
        <f>C8+C7</f>
        <v>473257.111685041</v>
      </c>
      <c r="D15" s="473">
        <f>C15+D8</f>
        <v>969342.2669181732</v>
      </c>
      <c r="E15" s="473">
        <f>D15+E8</f>
        <v>1441029.7184618157</v>
      </c>
      <c r="F15" s="473">
        <f>E15+F8</f>
        <v>1901865.3504494142</v>
      </c>
      <c r="G15" s="473">
        <f>F15+G8</f>
        <v>2359494.6480983202</v>
      </c>
      <c r="H15" s="360"/>
    </row>
    <row r="16" spans="1:8" ht="16.5" thickTop="1">
      <c r="A16" s="327"/>
      <c r="B16" s="327"/>
      <c r="C16" s="328"/>
      <c r="D16" s="328"/>
      <c r="E16" s="328"/>
      <c r="F16" s="328"/>
      <c r="G16" s="328"/>
      <c r="H16" s="360"/>
    </row>
    <row r="17" spans="1:8" ht="12.75">
      <c r="A17" s="327"/>
      <c r="B17" s="327"/>
      <c r="C17" s="327"/>
      <c r="D17" s="327"/>
      <c r="E17" s="327"/>
      <c r="F17" s="327"/>
      <c r="G17" s="327"/>
      <c r="H17" s="360"/>
    </row>
    <row r="18" spans="1:8" ht="12.75">
      <c r="A18" s="327"/>
      <c r="B18" s="327"/>
      <c r="C18" s="327"/>
      <c r="D18" s="327"/>
      <c r="E18" s="327"/>
      <c r="F18" s="327"/>
      <c r="G18" s="327"/>
      <c r="H18" s="360"/>
    </row>
    <row r="19" spans="1:8" ht="15.75">
      <c r="A19" s="329"/>
      <c r="B19" s="330"/>
      <c r="H19" s="360"/>
    </row>
    <row r="20" ht="12.75">
      <c r="H20" s="360"/>
    </row>
    <row r="21" spans="1:8" ht="12.75">
      <c r="A21" s="327"/>
      <c r="B21" s="327"/>
      <c r="D21" s="327"/>
      <c r="E21" s="327"/>
      <c r="F21" s="327"/>
      <c r="G21" s="327"/>
      <c r="H21" s="360"/>
    </row>
    <row r="22" spans="1:8" ht="12.75">
      <c r="A22" s="327"/>
      <c r="B22" s="327"/>
      <c r="C22" s="327"/>
      <c r="D22" s="327"/>
      <c r="E22" s="327"/>
      <c r="F22" s="327"/>
      <c r="G22" s="327"/>
      <c r="H22" s="360"/>
    </row>
    <row r="23" spans="1:8" ht="12.75">
      <c r="A23" s="327"/>
      <c r="B23" s="327"/>
      <c r="C23" s="327"/>
      <c r="D23" s="327"/>
      <c r="E23" s="327"/>
      <c r="F23" s="327"/>
      <c r="G23" s="327"/>
      <c r="H23" s="360"/>
    </row>
    <row r="24" spans="1:8" ht="12.75">
      <c r="A24" s="327"/>
      <c r="B24" s="327"/>
      <c r="C24" s="327"/>
      <c r="D24" s="327"/>
      <c r="E24" s="327"/>
      <c r="F24" s="327"/>
      <c r="G24" s="327"/>
      <c r="H24" s="360"/>
    </row>
    <row r="25" spans="1:8" ht="12.75">
      <c r="A25" s="327"/>
      <c r="B25" s="327"/>
      <c r="C25" s="327"/>
      <c r="D25" s="327"/>
      <c r="E25" s="327"/>
      <c r="F25" s="327"/>
      <c r="G25" s="327"/>
      <c r="H25" s="360"/>
    </row>
    <row r="26" spans="1:8" ht="12.75">
      <c r="A26" s="327"/>
      <c r="B26" s="327"/>
      <c r="C26" s="327"/>
      <c r="D26" s="327"/>
      <c r="E26" s="327"/>
      <c r="F26" s="327"/>
      <c r="G26" s="327"/>
      <c r="H26" s="360"/>
    </row>
    <row r="27" spans="1:8" ht="12.75">
      <c r="A27" s="327"/>
      <c r="B27" s="327"/>
      <c r="C27" s="327"/>
      <c r="D27" s="327"/>
      <c r="E27" s="327"/>
      <c r="F27" s="327"/>
      <c r="G27" s="327"/>
      <c r="H27" s="360"/>
    </row>
    <row r="28" spans="1:8" ht="12.75">
      <c r="A28" s="327"/>
      <c r="B28" s="327"/>
      <c r="C28" s="327"/>
      <c r="D28" s="327"/>
      <c r="E28" s="327"/>
      <c r="F28" s="327"/>
      <c r="G28" s="327"/>
      <c r="H28" s="360"/>
    </row>
    <row r="29" spans="1:8" ht="12.75">
      <c r="A29" s="327"/>
      <c r="B29" s="327"/>
      <c r="C29" s="327"/>
      <c r="D29" s="327"/>
      <c r="E29" s="327"/>
      <c r="F29" s="327"/>
      <c r="G29" s="327"/>
      <c r="H29" s="360"/>
    </row>
    <row r="30" spans="1:8" ht="12.75">
      <c r="A30" s="327"/>
      <c r="B30" s="327"/>
      <c r="C30" s="327"/>
      <c r="D30" s="327"/>
      <c r="E30" s="327"/>
      <c r="F30" s="327"/>
      <c r="G30" s="327"/>
      <c r="H30" s="360"/>
    </row>
    <row r="31" spans="1:8" ht="12.75">
      <c r="A31" s="327"/>
      <c r="B31" s="327"/>
      <c r="C31" s="327"/>
      <c r="D31" s="327"/>
      <c r="E31" s="327"/>
      <c r="F31" s="327"/>
      <c r="G31" s="327"/>
      <c r="H31" s="360"/>
    </row>
    <row r="32" spans="1:8" ht="12.75">
      <c r="A32" s="327"/>
      <c r="B32" s="327"/>
      <c r="C32" s="327"/>
      <c r="D32" s="327"/>
      <c r="E32" s="327"/>
      <c r="F32" s="327"/>
      <c r="G32" s="327"/>
      <c r="H32" s="360"/>
    </row>
    <row r="33" spans="1:8" ht="12.75">
      <c r="A33" s="327"/>
      <c r="B33" s="327"/>
      <c r="C33" s="327"/>
      <c r="D33" s="327"/>
      <c r="E33" s="327"/>
      <c r="F33" s="327"/>
      <c r="G33" s="327"/>
      <c r="H33" s="360"/>
    </row>
    <row r="34" ht="12.75">
      <c r="H34" s="360"/>
    </row>
    <row r="35" ht="12.75">
      <c r="H35" s="360"/>
    </row>
    <row r="36" ht="12.75">
      <c r="H36" s="360"/>
    </row>
    <row r="37" ht="12.75">
      <c r="H37" s="360"/>
    </row>
    <row r="38" spans="3:8" ht="12.75">
      <c r="C38" s="331"/>
      <c r="D38" s="331"/>
      <c r="E38" s="331"/>
      <c r="F38" s="331"/>
      <c r="G38" s="331"/>
      <c r="H38" s="360"/>
    </row>
    <row r="39" spans="3:8" ht="12.75">
      <c r="C39" s="331"/>
      <c r="D39" s="331"/>
      <c r="E39" s="331"/>
      <c r="F39" s="331"/>
      <c r="G39" s="331"/>
      <c r="H39" s="360"/>
    </row>
    <row r="40" spans="3:8" ht="12.75">
      <c r="C40" s="331"/>
      <c r="D40" s="331"/>
      <c r="E40" s="331"/>
      <c r="F40" s="331"/>
      <c r="G40" s="331"/>
      <c r="H40" s="360"/>
    </row>
    <row r="41" spans="3:8" ht="12.75">
      <c r="C41" s="331"/>
      <c r="D41" s="331"/>
      <c r="E41" s="331"/>
      <c r="F41" s="331"/>
      <c r="G41" s="331"/>
      <c r="H41" s="360"/>
    </row>
    <row r="42" spans="3:8" ht="12.75">
      <c r="C42" s="331"/>
      <c r="D42" s="331"/>
      <c r="E42" s="331"/>
      <c r="F42" s="331"/>
      <c r="G42" s="331"/>
      <c r="H42" s="360"/>
    </row>
    <row r="43" spans="3:8" ht="12.75">
      <c r="C43" s="331"/>
      <c r="D43" s="331"/>
      <c r="E43" s="331"/>
      <c r="F43" s="331"/>
      <c r="G43" s="331"/>
      <c r="H43" s="360"/>
    </row>
    <row r="44" ht="12.75">
      <c r="H44" s="360"/>
    </row>
    <row r="45" ht="12.75">
      <c r="H45" s="360"/>
    </row>
    <row r="46" ht="12.75">
      <c r="H46" s="360"/>
    </row>
    <row r="47" ht="12.75">
      <c r="H47" s="360"/>
    </row>
    <row r="48" ht="12.75">
      <c r="H48" s="360"/>
    </row>
    <row r="49" ht="12.75">
      <c r="H49" s="360"/>
    </row>
    <row r="50" spans="1:8" ht="15">
      <c r="A50" s="1316" t="s">
        <v>817</v>
      </c>
      <c r="B50" s="1316"/>
      <c r="C50" s="1316"/>
      <c r="D50" s="1316"/>
      <c r="E50" s="1316"/>
      <c r="F50" s="1316"/>
      <c r="G50" s="1316"/>
      <c r="H50" s="360"/>
    </row>
    <row r="51" ht="12.75">
      <c r="H51" s="360"/>
    </row>
    <row r="52" spans="1:8" ht="60" customHeight="1">
      <c r="A52" s="360"/>
      <c r="B52" s="360"/>
      <c r="C52" s="360"/>
      <c r="D52" s="360"/>
      <c r="E52" s="360"/>
      <c r="F52" s="360"/>
      <c r="G52" s="360"/>
      <c r="H52" s="360"/>
    </row>
  </sheetData>
  <sheetProtection/>
  <mergeCells count="2">
    <mergeCell ref="A50:G50"/>
    <mergeCell ref="A1:G1"/>
  </mergeCells>
  <printOptions verticalCentered="1"/>
  <pageMargins left="0.49" right="0.9" top="0.61" bottom="0.39" header="0.5511811023622047" footer="0.32"/>
  <pageSetup fitToHeight="1" fitToWidth="1" horizontalDpi="600" verticalDpi="600" orientation="landscape" paperSize="9" scale="7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8"/>
  <sheetViews>
    <sheetView showGridLines="0" zoomScale="85" zoomScaleNormal="85" zoomScalePageLayoutView="0" workbookViewId="0" topLeftCell="A104">
      <selection activeCell="A113" sqref="A113"/>
    </sheetView>
  </sheetViews>
  <sheetFormatPr defaultColWidth="8.875" defaultRowHeight="12.75"/>
  <cols>
    <col min="1" max="1" width="25.875" style="292" customWidth="1"/>
    <col min="2" max="3" width="12.125" style="292" customWidth="1"/>
    <col min="4" max="5" width="12.375" style="292" customWidth="1"/>
    <col min="6" max="6" width="11.375" style="292" customWidth="1"/>
    <col min="7" max="8" width="11.875" style="292" customWidth="1"/>
    <col min="9" max="9" width="11.75390625" style="292" hidden="1" customWidth="1"/>
    <col min="10" max="10" width="33.125" style="292" bestFit="1" customWidth="1"/>
    <col min="11" max="11" width="22.625" style="292" bestFit="1" customWidth="1"/>
    <col min="12" max="12" width="15.75390625" style="292" customWidth="1"/>
    <col min="13" max="16384" width="8.875" style="292" customWidth="1"/>
  </cols>
  <sheetData>
    <row r="1" spans="1:10" ht="20.25">
      <c r="A1" s="1328" t="s">
        <v>914</v>
      </c>
      <c r="B1" s="1328"/>
      <c r="C1" s="1328"/>
      <c r="D1" s="1328"/>
      <c r="E1" s="1328"/>
      <c r="F1" s="1328"/>
      <c r="G1" s="1328"/>
      <c r="H1" s="1328"/>
      <c r="J1" s="362"/>
    </row>
    <row r="2" spans="5:10" ht="15">
      <c r="E2" s="293"/>
      <c r="H2" s="443" t="s">
        <v>915</v>
      </c>
      <c r="J2" s="362"/>
    </row>
    <row r="3" spans="1:12" ht="15.75">
      <c r="A3" s="1073" t="s">
        <v>678</v>
      </c>
      <c r="B3" s="294"/>
      <c r="C3" s="294"/>
      <c r="D3" s="294"/>
      <c r="E3" s="294"/>
      <c r="F3" s="294"/>
      <c r="G3" s="295"/>
      <c r="H3" s="296"/>
      <c r="J3" s="362"/>
      <c r="K3" s="1048" t="s">
        <v>565</v>
      </c>
      <c r="L3" s="1049">
        <f>ЕФ!E11</f>
        <v>0.12</v>
      </c>
    </row>
    <row r="4" spans="1:10" ht="3" customHeight="1" thickBot="1">
      <c r="A4" s="297"/>
      <c r="B4" s="298"/>
      <c r="C4" s="298"/>
      <c r="D4" s="298"/>
      <c r="E4" s="298"/>
      <c r="J4" s="362"/>
    </row>
    <row r="5" spans="1:12" ht="20.25" customHeight="1">
      <c r="A5" s="1050" t="s">
        <v>565</v>
      </c>
      <c r="B5" s="1051">
        <v>0.06</v>
      </c>
      <c r="C5" s="1051">
        <v>0.08</v>
      </c>
      <c r="D5" s="1051">
        <v>0.1</v>
      </c>
      <c r="E5" s="1051">
        <v>0.12</v>
      </c>
      <c r="F5" s="1051">
        <v>0.14</v>
      </c>
      <c r="G5" s="1051">
        <v>0.16</v>
      </c>
      <c r="H5" s="1051">
        <v>0.18</v>
      </c>
      <c r="J5" s="477" t="s">
        <v>917</v>
      </c>
      <c r="K5" s="1332" t="s">
        <v>364</v>
      </c>
      <c r="L5" s="1333"/>
    </row>
    <row r="6" spans="1:12" ht="30" customHeight="1">
      <c r="A6" s="1052" t="s">
        <v>918</v>
      </c>
      <c r="B6" s="1102">
        <v>3563043.0426325817</v>
      </c>
      <c r="C6" s="1102">
        <v>2995740.8263424016</v>
      </c>
      <c r="D6" s="1102">
        <v>2528679</v>
      </c>
      <c r="E6" s="1100">
        <v>2142628.52326834</v>
      </c>
      <c r="F6" s="1102">
        <v>1822316.0585069798</v>
      </c>
      <c r="G6" s="1102">
        <v>1555560.393550151</v>
      </c>
      <c r="H6" s="1102">
        <v>1332604.8284672573</v>
      </c>
      <c r="J6" s="362"/>
      <c r="K6" s="1053" t="s">
        <v>554</v>
      </c>
      <c r="L6" s="1054">
        <f>ЕФ!E19</f>
        <v>396882.76264589577</v>
      </c>
    </row>
    <row r="7" spans="1:12" ht="30" customHeight="1">
      <c r="A7" s="1052" t="s">
        <v>360</v>
      </c>
      <c r="B7" s="299">
        <v>1.42</v>
      </c>
      <c r="C7" s="299">
        <v>1.35</v>
      </c>
      <c r="D7" s="299">
        <v>1.3</v>
      </c>
      <c r="E7" s="1071">
        <v>1.25</v>
      </c>
      <c r="F7" s="299">
        <v>1.21</v>
      </c>
      <c r="G7" s="299">
        <v>1.18</v>
      </c>
      <c r="H7" s="299">
        <v>1.16</v>
      </c>
      <c r="J7" s="362"/>
      <c r="K7" s="1053" t="s">
        <v>564</v>
      </c>
      <c r="L7" s="1057">
        <f>ЕФ!E24</f>
        <v>1.8628023979086106</v>
      </c>
    </row>
    <row r="8" spans="1:10" ht="15">
      <c r="A8" s="298"/>
      <c r="B8" s="300"/>
      <c r="C8" s="301"/>
      <c r="D8" s="300"/>
      <c r="E8" s="300"/>
      <c r="F8" s="293"/>
      <c r="G8" s="293"/>
      <c r="H8" s="293"/>
      <c r="J8" s="362"/>
    </row>
    <row r="9" spans="1:11" ht="15.75">
      <c r="A9" s="298"/>
      <c r="B9" s="298"/>
      <c r="C9" s="298"/>
      <c r="D9" s="298"/>
      <c r="E9" s="298"/>
      <c r="J9" s="362"/>
      <c r="K9" s="1058" t="s">
        <v>919</v>
      </c>
    </row>
    <row r="10" spans="1:11" ht="15">
      <c r="A10" s="298"/>
      <c r="B10" s="298"/>
      <c r="C10" s="298"/>
      <c r="D10" s="298"/>
      <c r="E10" s="298"/>
      <c r="J10" s="362"/>
      <c r="K10" s="1059" t="s">
        <v>949</v>
      </c>
    </row>
    <row r="11" spans="1:11" ht="15">
      <c r="A11" s="298"/>
      <c r="B11" s="298"/>
      <c r="C11" s="298"/>
      <c r="D11" s="298"/>
      <c r="E11" s="298"/>
      <c r="J11" s="362"/>
      <c r="K11" s="307" t="s">
        <v>950</v>
      </c>
    </row>
    <row r="12" spans="1:11" ht="15">
      <c r="A12" s="298"/>
      <c r="B12" s="298"/>
      <c r="C12" s="298"/>
      <c r="D12" s="298"/>
      <c r="E12" s="298"/>
      <c r="J12" s="362"/>
      <c r="K12" s="307" t="s">
        <v>951</v>
      </c>
    </row>
    <row r="13" spans="1:11" ht="15">
      <c r="A13" s="298"/>
      <c r="B13" s="298"/>
      <c r="C13" s="298"/>
      <c r="D13" s="298"/>
      <c r="E13" s="298"/>
      <c r="J13" s="362"/>
      <c r="K13" s="307" t="s">
        <v>675</v>
      </c>
    </row>
    <row r="14" spans="1:11" ht="15">
      <c r="A14" s="298"/>
      <c r="B14" s="298"/>
      <c r="C14" s="298"/>
      <c r="D14" s="298"/>
      <c r="E14" s="298"/>
      <c r="J14" s="362"/>
      <c r="K14" s="307" t="s">
        <v>920</v>
      </c>
    </row>
    <row r="15" spans="10:11" ht="15">
      <c r="J15" s="362"/>
      <c r="K15" s="307" t="s">
        <v>921</v>
      </c>
    </row>
    <row r="16" spans="10:11" ht="15">
      <c r="J16" s="362"/>
      <c r="K16" s="307" t="s">
        <v>922</v>
      </c>
    </row>
    <row r="17" spans="10:11" ht="15">
      <c r="J17" s="362"/>
      <c r="K17" s="307" t="s">
        <v>923</v>
      </c>
    </row>
    <row r="18" spans="1:11" ht="15">
      <c r="A18" s="1335" t="s">
        <v>924</v>
      </c>
      <c r="B18" s="1335"/>
      <c r="C18" s="1335"/>
      <c r="D18" s="1335"/>
      <c r="E18" s="1335"/>
      <c r="F18" s="1335"/>
      <c r="G18" s="1335"/>
      <c r="H18" s="1335"/>
      <c r="J18" s="362"/>
      <c r="K18" s="307" t="s">
        <v>925</v>
      </c>
    </row>
    <row r="19" spans="1:10" ht="15.75">
      <c r="A19" s="1075" t="s">
        <v>676</v>
      </c>
      <c r="C19" s="296"/>
      <c r="E19" s="293"/>
      <c r="J19" s="362"/>
    </row>
    <row r="20" spans="2:10" ht="15.75">
      <c r="B20" s="294"/>
      <c r="C20" s="294"/>
      <c r="D20" s="294"/>
      <c r="E20" s="294"/>
      <c r="F20" s="294"/>
      <c r="G20" s="295"/>
      <c r="H20" s="443" t="s">
        <v>916</v>
      </c>
      <c r="J20" s="362"/>
    </row>
    <row r="21" spans="1:12" ht="16.5" thickBot="1">
      <c r="A21" s="1334" t="s">
        <v>677</v>
      </c>
      <c r="B21" s="1334"/>
      <c r="C21" s="1334"/>
      <c r="D21" s="1334"/>
      <c r="E21" s="1334"/>
      <c r="F21" s="1334"/>
      <c r="G21" s="1334"/>
      <c r="H21" s="1334"/>
      <c r="J21" s="362"/>
      <c r="K21" s="1048" t="s">
        <v>585</v>
      </c>
      <c r="L21" s="1049">
        <f>ЕФ!E10</f>
        <v>0.24</v>
      </c>
    </row>
    <row r="22" spans="1:12" ht="18">
      <c r="A22" s="1060" t="s">
        <v>585</v>
      </c>
      <c r="B22" s="1061">
        <v>0.18</v>
      </c>
      <c r="C22" s="1061">
        <v>0.2</v>
      </c>
      <c r="D22" s="1061">
        <v>0.22</v>
      </c>
      <c r="E22" s="1061">
        <v>0.24</v>
      </c>
      <c r="F22" s="1061">
        <v>0.26</v>
      </c>
      <c r="G22" s="1061">
        <v>0.28</v>
      </c>
      <c r="H22" s="1061">
        <v>0.3</v>
      </c>
      <c r="J22" s="362"/>
      <c r="K22" s="1332" t="s">
        <v>364</v>
      </c>
      <c r="L22" s="1333"/>
    </row>
    <row r="23" spans="1:12" ht="30" customHeight="1" thickBot="1">
      <c r="A23" s="1062" t="s">
        <v>918</v>
      </c>
      <c r="B23" s="1103">
        <v>895124.1391174335</v>
      </c>
      <c r="C23" s="1099">
        <v>718760.1890841404</v>
      </c>
      <c r="D23" s="1099">
        <v>542396.2390508472</v>
      </c>
      <c r="E23" s="1098">
        <v>366032.28901755373</v>
      </c>
      <c r="F23" s="1099">
        <v>189668.33898426202</v>
      </c>
      <c r="G23" s="1103">
        <v>13304.388950967521</v>
      </c>
      <c r="H23" s="1103">
        <v>-163059.56108232835</v>
      </c>
      <c r="J23" s="362"/>
      <c r="K23" s="1053" t="s">
        <v>554</v>
      </c>
      <c r="L23" s="1054">
        <f>ЕФ!E19</f>
        <v>396882.76264589577</v>
      </c>
    </row>
    <row r="24" spans="1:12" ht="30" customHeight="1" thickBot="1">
      <c r="A24" s="1052" t="s">
        <v>360</v>
      </c>
      <c r="B24" s="1055">
        <v>1.1738105124499871</v>
      </c>
      <c r="C24" s="1055">
        <v>1.1395650852590564</v>
      </c>
      <c r="D24" s="1055">
        <v>1.1053196580681257</v>
      </c>
      <c r="E24" s="1056">
        <v>1.0710742308771948</v>
      </c>
      <c r="F24" s="1055">
        <v>1.0368288036862645</v>
      </c>
      <c r="G24" s="1055">
        <v>1.0025833764953334</v>
      </c>
      <c r="H24" s="1055">
        <v>0.9683379493044022</v>
      </c>
      <c r="I24" s="131">
        <v>0.27</v>
      </c>
      <c r="J24" s="362"/>
      <c r="K24" s="1053" t="s">
        <v>564</v>
      </c>
      <c r="L24" s="1057">
        <f>ЕФ!E24</f>
        <v>1.8628023979086106</v>
      </c>
    </row>
    <row r="25" spans="1:10" ht="6.75" customHeight="1">
      <c r="A25" s="298"/>
      <c r="B25" s="298"/>
      <c r="C25" s="298"/>
      <c r="D25" s="298"/>
      <c r="E25" s="298"/>
      <c r="J25" s="362"/>
    </row>
    <row r="26" spans="1:11" ht="15">
      <c r="A26" s="302"/>
      <c r="B26" s="303"/>
      <c r="C26" s="303"/>
      <c r="D26" s="303"/>
      <c r="E26" s="303"/>
      <c r="F26" s="303"/>
      <c r="G26" s="303"/>
      <c r="J26" s="362"/>
      <c r="K26" s="307" t="s">
        <v>952</v>
      </c>
    </row>
    <row r="27" spans="1:11" ht="15">
      <c r="A27" s="302"/>
      <c r="B27" s="303"/>
      <c r="C27" s="303"/>
      <c r="D27" s="303"/>
      <c r="E27" s="303"/>
      <c r="F27" s="303"/>
      <c r="G27" s="303"/>
      <c r="J27" s="362"/>
      <c r="K27" s="307" t="s">
        <v>674</v>
      </c>
    </row>
    <row r="28" spans="1:11" ht="15">
      <c r="A28" s="302"/>
      <c r="B28" s="303"/>
      <c r="C28" s="303"/>
      <c r="D28" s="303"/>
      <c r="E28" s="303"/>
      <c r="F28" s="303"/>
      <c r="G28" s="303"/>
      <c r="J28" s="362"/>
      <c r="K28" s="307" t="s">
        <v>926</v>
      </c>
    </row>
    <row r="29" spans="1:11" ht="15">
      <c r="A29" s="302"/>
      <c r="B29" s="303"/>
      <c r="C29" s="303"/>
      <c r="D29" s="303"/>
      <c r="E29" s="303"/>
      <c r="F29" s="303"/>
      <c r="G29" s="303"/>
      <c r="J29" s="362"/>
      <c r="K29" s="307" t="s">
        <v>921</v>
      </c>
    </row>
    <row r="30" spans="1:11" ht="15">
      <c r="A30" s="302"/>
      <c r="B30" s="303"/>
      <c r="C30" s="303"/>
      <c r="D30" s="303"/>
      <c r="E30" s="303"/>
      <c r="F30" s="303"/>
      <c r="G30" s="303"/>
      <c r="J30" s="362"/>
      <c r="K30" s="307" t="s">
        <v>927</v>
      </c>
    </row>
    <row r="31" spans="1:11" ht="15">
      <c r="A31" s="302"/>
      <c r="B31" s="303"/>
      <c r="C31" s="303"/>
      <c r="D31" s="303"/>
      <c r="E31" s="303"/>
      <c r="F31" s="303"/>
      <c r="G31" s="303"/>
      <c r="J31" s="362"/>
      <c r="K31" s="307" t="s">
        <v>928</v>
      </c>
    </row>
    <row r="32" spans="1:10" ht="15">
      <c r="A32" s="302"/>
      <c r="B32" s="303"/>
      <c r="C32" s="303"/>
      <c r="D32" s="303"/>
      <c r="E32" s="303"/>
      <c r="F32" s="303"/>
      <c r="G32" s="303"/>
      <c r="J32" s="362"/>
    </row>
    <row r="33" spans="1:10" ht="15">
      <c r="A33" s="302"/>
      <c r="B33" s="303"/>
      <c r="C33" s="303"/>
      <c r="D33" s="303"/>
      <c r="E33" s="303"/>
      <c r="F33" s="303"/>
      <c r="G33" s="303"/>
      <c r="J33" s="362"/>
    </row>
    <row r="34" spans="1:10" ht="15">
      <c r="A34" s="302"/>
      <c r="B34" s="303"/>
      <c r="C34" s="303"/>
      <c r="D34" s="303"/>
      <c r="E34" s="303"/>
      <c r="F34" s="303"/>
      <c r="G34" s="303"/>
      <c r="J34" s="362"/>
    </row>
    <row r="35" spans="1:10" ht="15">
      <c r="A35" s="302"/>
      <c r="B35" s="303"/>
      <c r="C35" s="303"/>
      <c r="D35" s="303"/>
      <c r="E35" s="303"/>
      <c r="F35" s="303"/>
      <c r="G35" s="303"/>
      <c r="J35" s="362"/>
    </row>
    <row r="36" spans="1:11" ht="15">
      <c r="A36" s="302"/>
      <c r="B36" s="303"/>
      <c r="C36" s="303"/>
      <c r="D36" s="303"/>
      <c r="E36" s="303"/>
      <c r="F36" s="303"/>
      <c r="G36" s="303"/>
      <c r="J36" s="362"/>
      <c r="K36" s="307"/>
    </row>
    <row r="37" spans="1:10" ht="15">
      <c r="A37" s="304" t="s">
        <v>929</v>
      </c>
      <c r="B37" s="304"/>
      <c r="C37" s="304"/>
      <c r="D37" s="304"/>
      <c r="E37" s="304"/>
      <c r="F37" s="305"/>
      <c r="G37" s="305"/>
      <c r="H37" s="305"/>
      <c r="J37" s="362"/>
    </row>
    <row r="38" spans="1:10" ht="15">
      <c r="A38" s="306"/>
      <c r="B38" s="305"/>
      <c r="C38" s="305"/>
      <c r="D38" s="305"/>
      <c r="E38" s="305"/>
      <c r="F38" s="305"/>
      <c r="G38" s="305"/>
      <c r="H38" s="307"/>
      <c r="J38" s="362"/>
    </row>
    <row r="39" ht="15">
      <c r="J39" s="362"/>
    </row>
    <row r="40" ht="15">
      <c r="J40" s="362"/>
    </row>
    <row r="41" ht="15">
      <c r="J41" s="362"/>
    </row>
    <row r="42" ht="15">
      <c r="J42" s="362"/>
    </row>
    <row r="43" ht="15">
      <c r="J43" s="362"/>
    </row>
    <row r="44" ht="15">
      <c r="J44" s="362"/>
    </row>
    <row r="45" ht="15">
      <c r="J45" s="362"/>
    </row>
    <row r="46" ht="15">
      <c r="J46" s="362"/>
    </row>
    <row r="47" ht="15">
      <c r="J47" s="362"/>
    </row>
    <row r="48" ht="15">
      <c r="J48" s="362"/>
    </row>
    <row r="49" ht="15">
      <c r="J49" s="362"/>
    </row>
    <row r="50" ht="15.75">
      <c r="J50" s="477"/>
    </row>
    <row r="51" ht="15.75">
      <c r="J51" s="477"/>
    </row>
    <row r="52" spans="1:10" ht="9.75" customHeight="1">
      <c r="A52" s="308"/>
      <c r="B52" s="308"/>
      <c r="C52" s="308"/>
      <c r="D52" s="308"/>
      <c r="E52" s="308"/>
      <c r="F52" s="308"/>
      <c r="G52" s="308"/>
      <c r="H52" s="308"/>
      <c r="J52" s="1063" t="s">
        <v>930</v>
      </c>
    </row>
    <row r="53" spans="1:10" ht="15">
      <c r="A53" s="1072" t="s">
        <v>931</v>
      </c>
      <c r="G53" s="1064">
        <v>1.1205</v>
      </c>
      <c r="H53" s="1065" t="s">
        <v>932</v>
      </c>
      <c r="J53" s="1063" t="s">
        <v>933</v>
      </c>
    </row>
    <row r="54" spans="1:10" ht="9" customHeight="1">
      <c r="A54" s="1072"/>
      <c r="G54" s="1064"/>
      <c r="H54" s="1065"/>
      <c r="J54" s="1063"/>
    </row>
    <row r="55" spans="1:11" ht="15">
      <c r="A55" s="1075" t="s">
        <v>673</v>
      </c>
      <c r="J55" s="344"/>
      <c r="K55" s="307"/>
    </row>
    <row r="56" spans="1:10" ht="15">
      <c r="A56" s="1075" t="s">
        <v>681</v>
      </c>
      <c r="E56" s="293"/>
      <c r="J56" s="344"/>
    </row>
    <row r="57" spans="5:11" ht="15">
      <c r="E57" s="293"/>
      <c r="J57" s="344"/>
      <c r="K57" s="307" t="s">
        <v>934</v>
      </c>
    </row>
    <row r="58" spans="5:11" ht="15">
      <c r="E58" s="293"/>
      <c r="J58" s="344"/>
      <c r="K58" s="307" t="s">
        <v>935</v>
      </c>
    </row>
    <row r="59" spans="5:11" ht="15">
      <c r="E59" s="293"/>
      <c r="J59" s="344"/>
      <c r="K59" s="307" t="s">
        <v>936</v>
      </c>
    </row>
    <row r="60" spans="5:11" ht="15">
      <c r="E60" s="293"/>
      <c r="J60" s="362"/>
      <c r="K60" s="1059" t="s">
        <v>937</v>
      </c>
    </row>
    <row r="61" spans="5:11" ht="15">
      <c r="E61" s="293"/>
      <c r="J61" s="362"/>
      <c r="K61" s="307" t="s">
        <v>938</v>
      </c>
    </row>
    <row r="62" spans="5:11" ht="15">
      <c r="E62" s="293"/>
      <c r="J62" s="362"/>
      <c r="K62" s="307" t="s">
        <v>939</v>
      </c>
    </row>
    <row r="63" spans="5:11" ht="15">
      <c r="E63" s="293"/>
      <c r="J63" s="362"/>
      <c r="K63" s="307" t="s">
        <v>940</v>
      </c>
    </row>
    <row r="64" spans="5:11" ht="15">
      <c r="E64" s="293"/>
      <c r="J64" s="362"/>
      <c r="K64" s="307" t="s">
        <v>941</v>
      </c>
    </row>
    <row r="65" spans="5:11" ht="15">
      <c r="E65" s="293"/>
      <c r="J65" s="362"/>
      <c r="K65" s="307" t="s">
        <v>942</v>
      </c>
    </row>
    <row r="66" spans="5:11" ht="15">
      <c r="E66" s="293"/>
      <c r="J66" s="362"/>
      <c r="K66" s="307" t="s">
        <v>953</v>
      </c>
    </row>
    <row r="67" spans="2:11" ht="18" customHeight="1">
      <c r="B67" s="294"/>
      <c r="C67" s="294"/>
      <c r="D67" s="294"/>
      <c r="E67" s="294"/>
      <c r="F67" s="294"/>
      <c r="G67" s="295"/>
      <c r="H67" s="443" t="s">
        <v>244</v>
      </c>
      <c r="J67" s="362"/>
      <c r="K67" s="307" t="s">
        <v>696</v>
      </c>
    </row>
    <row r="68" spans="1:12" ht="16.5" thickBot="1">
      <c r="A68" s="1334" t="s">
        <v>679</v>
      </c>
      <c r="B68" s="1334"/>
      <c r="C68" s="1334"/>
      <c r="D68" s="1334"/>
      <c r="E68" s="1334"/>
      <c r="F68" s="1334"/>
      <c r="G68" s="1334"/>
      <c r="H68" s="1334"/>
      <c r="J68" s="362"/>
      <c r="K68" s="1066" t="s">
        <v>692</v>
      </c>
      <c r="L68" s="1094">
        <f>ТЕО!E16</f>
        <v>0</v>
      </c>
    </row>
    <row r="69" spans="1:12" ht="30.75" thickBot="1">
      <c r="A69" s="1074" t="s">
        <v>680</v>
      </c>
      <c r="B69" s="130">
        <v>0</v>
      </c>
      <c r="C69" s="130">
        <v>-0.1</v>
      </c>
      <c r="D69" s="130">
        <v>-0.2</v>
      </c>
      <c r="E69" s="130">
        <v>-0.3</v>
      </c>
      <c r="F69" s="130">
        <v>-0.4</v>
      </c>
      <c r="G69" s="130">
        <v>-0.5</v>
      </c>
      <c r="H69" s="130">
        <v>-0.6</v>
      </c>
      <c r="J69" s="477" t="s">
        <v>917</v>
      </c>
      <c r="K69" s="1332" t="s">
        <v>364</v>
      </c>
      <c r="L69" s="1333"/>
    </row>
    <row r="70" spans="1:12" ht="26.25" customHeight="1">
      <c r="A70" s="1052" t="s">
        <v>356</v>
      </c>
      <c r="B70" s="1100">
        <v>396882.76264589577</v>
      </c>
      <c r="C70" s="1101">
        <v>296488.6097807779</v>
      </c>
      <c r="D70" s="1101">
        <v>196094.45691566</v>
      </c>
      <c r="E70" s="1101">
        <v>95700.30405054205</v>
      </c>
      <c r="F70" s="1101">
        <v>-13056.9749903966</v>
      </c>
      <c r="G70" s="1101">
        <v>-125613.231810956</v>
      </c>
      <c r="H70" s="1101">
        <v>-245177.17318563478</v>
      </c>
      <c r="J70" s="477" t="s">
        <v>943</v>
      </c>
      <c r="K70" s="1053" t="s">
        <v>554</v>
      </c>
      <c r="L70" s="1054">
        <f>ЕФ!E19</f>
        <v>396882.76264589577</v>
      </c>
    </row>
    <row r="71" spans="1:12" ht="26.25" customHeight="1">
      <c r="A71" s="1052" t="s">
        <v>357</v>
      </c>
      <c r="B71" s="1098">
        <v>620653.30719506</v>
      </c>
      <c r="C71" s="1099">
        <v>471549.92047630996</v>
      </c>
      <c r="D71" s="1099">
        <v>322446.53375755996</v>
      </c>
      <c r="E71" s="1099">
        <v>173343.14703880984</v>
      </c>
      <c r="F71" s="1099">
        <v>13749.054845110251</v>
      </c>
      <c r="G71" s="1099">
        <v>-151057.46225955026</v>
      </c>
      <c r="H71" s="1099">
        <v>-325938.39482519985</v>
      </c>
      <c r="J71" s="362"/>
      <c r="K71" s="1067" t="s">
        <v>550</v>
      </c>
      <c r="L71" s="1054">
        <f>ЕФ!E17</f>
        <v>620653.30719506</v>
      </c>
    </row>
    <row r="72" spans="1:12" ht="26.25" customHeight="1">
      <c r="A72" s="1052" t="s">
        <v>358</v>
      </c>
      <c r="B72" s="1076">
        <v>0.34102746037379983</v>
      </c>
      <c r="C72" s="1068">
        <v>0.27759695692108854</v>
      </c>
      <c r="D72" s="1068">
        <v>0.2124154396656118</v>
      </c>
      <c r="E72" s="1068">
        <v>0.14540938811724452</v>
      </c>
      <c r="F72" s="1068">
        <v>0.07650110745193939</v>
      </c>
      <c r="G72" s="1068">
        <v>0.005608427983865907</v>
      </c>
      <c r="H72" s="1068">
        <v>-0.06735562170527198</v>
      </c>
      <c r="J72" s="362"/>
      <c r="K72" s="1053" t="s">
        <v>560</v>
      </c>
      <c r="L72" s="1069">
        <f>ЕФ!E22</f>
        <v>0.34102746037379983</v>
      </c>
    </row>
    <row r="73" spans="1:12" ht="26.25" customHeight="1">
      <c r="A73" s="1052" t="s">
        <v>359</v>
      </c>
      <c r="B73" s="1076">
        <v>0.33471930730910615</v>
      </c>
      <c r="C73" s="1068">
        <v>0.27649132992707337</v>
      </c>
      <c r="D73" s="1068">
        <v>0.2126991686494876</v>
      </c>
      <c r="E73" s="1068">
        <v>0.14149611633576933</v>
      </c>
      <c r="F73" s="1068">
        <v>0.05299671448502682</v>
      </c>
      <c r="G73" s="1068">
        <v>-0.05648492343480717</v>
      </c>
      <c r="H73" s="1068">
        <v>-0.2097551395585231</v>
      </c>
      <c r="J73" s="362"/>
      <c r="K73" s="1053" t="s">
        <v>562</v>
      </c>
      <c r="L73" s="1069">
        <f>ЕФ!E23</f>
        <v>0.33471930730910615</v>
      </c>
    </row>
    <row r="74" spans="1:12" ht="26.25" customHeight="1">
      <c r="A74" s="1052" t="s">
        <v>360</v>
      </c>
      <c r="B74" s="1077">
        <v>1.8628023979086106</v>
      </c>
      <c r="C74" s="1070">
        <v>1.6445507528874053</v>
      </c>
      <c r="D74" s="1070">
        <v>1.4262991078662</v>
      </c>
      <c r="E74" s="1070">
        <v>1.2080474628449946</v>
      </c>
      <c r="F74" s="1070">
        <v>0.97161481830039</v>
      </c>
      <c r="G74" s="1070">
        <v>0.7269233944729401</v>
      </c>
      <c r="H74" s="1070">
        <v>0.4669976304167213</v>
      </c>
      <c r="J74" s="362"/>
      <c r="K74" s="1053" t="s">
        <v>564</v>
      </c>
      <c r="L74" s="1057">
        <f>ЕФ!E24</f>
        <v>1.8628023979086106</v>
      </c>
    </row>
    <row r="75" spans="1:10" ht="15">
      <c r="A75" s="298"/>
      <c r="B75" s="298"/>
      <c r="C75" s="298"/>
      <c r="D75" s="298"/>
      <c r="E75" s="298"/>
      <c r="J75" s="362"/>
    </row>
    <row r="76" spans="1:11" ht="15">
      <c r="A76" s="298"/>
      <c r="B76" s="298"/>
      <c r="C76" s="298"/>
      <c r="D76" s="298"/>
      <c r="E76" s="298"/>
      <c r="J76" s="362"/>
      <c r="K76" s="307" t="s">
        <v>944</v>
      </c>
    </row>
    <row r="77" spans="10:11" ht="15">
      <c r="J77" s="362"/>
      <c r="K77" s="307" t="s">
        <v>945</v>
      </c>
    </row>
    <row r="78" spans="10:11" ht="15">
      <c r="J78" s="362"/>
      <c r="K78" s="307" t="s">
        <v>954</v>
      </c>
    </row>
    <row r="79" spans="10:11" ht="15">
      <c r="J79" s="362"/>
      <c r="K79" s="307" t="s">
        <v>955</v>
      </c>
    </row>
    <row r="80" spans="10:11" ht="15">
      <c r="J80" s="362"/>
      <c r="K80" s="307" t="s">
        <v>946</v>
      </c>
    </row>
    <row r="81" spans="10:11" ht="15">
      <c r="J81" s="362"/>
      <c r="K81" s="307" t="s">
        <v>956</v>
      </c>
    </row>
    <row r="82" spans="10:11" ht="15">
      <c r="J82" s="362"/>
      <c r="K82" s="307" t="s">
        <v>947</v>
      </c>
    </row>
    <row r="83" spans="10:11" ht="15">
      <c r="J83" s="362"/>
      <c r="K83" s="307" t="s">
        <v>948</v>
      </c>
    </row>
    <row r="84" ht="15">
      <c r="J84" s="362"/>
    </row>
    <row r="85" ht="15">
      <c r="J85" s="362"/>
    </row>
    <row r="86" ht="15">
      <c r="J86" s="362"/>
    </row>
    <row r="87" ht="15">
      <c r="J87" s="362"/>
    </row>
    <row r="88" ht="15">
      <c r="J88" s="362"/>
    </row>
    <row r="89" ht="15">
      <c r="J89" s="362"/>
    </row>
    <row r="90" ht="15">
      <c r="J90" s="362"/>
    </row>
    <row r="91" ht="15">
      <c r="J91" s="362"/>
    </row>
    <row r="92" ht="15">
      <c r="J92" s="362"/>
    </row>
    <row r="93" ht="15">
      <c r="J93" s="362"/>
    </row>
    <row r="94" spans="1:10" ht="15">
      <c r="A94" s="1335" t="s">
        <v>245</v>
      </c>
      <c r="B94" s="1335"/>
      <c r="C94" s="1335"/>
      <c r="D94" s="1335"/>
      <c r="E94" s="1335"/>
      <c r="F94" s="1335"/>
      <c r="G94" s="1335"/>
      <c r="H94" s="1335"/>
      <c r="J94" s="362"/>
    </row>
    <row r="95" spans="1:10" ht="25.5" customHeight="1">
      <c r="A95" s="1092"/>
      <c r="F95" s="1093" t="s">
        <v>685</v>
      </c>
      <c r="G95" s="1091">
        <v>0.3881</v>
      </c>
      <c r="H95" s="1065"/>
      <c r="J95" s="362"/>
    </row>
    <row r="96" spans="1:10" ht="15.75">
      <c r="A96" s="1331" t="s">
        <v>686</v>
      </c>
      <c r="B96" s="1331"/>
      <c r="C96" s="1331"/>
      <c r="D96" s="1331"/>
      <c r="E96" s="1331"/>
      <c r="F96" s="1331"/>
      <c r="G96" s="1089">
        <v>36.714884034248186</v>
      </c>
      <c r="H96" s="1087" t="s">
        <v>516</v>
      </c>
      <c r="J96" s="362"/>
    </row>
    <row r="97" spans="1:10" ht="15">
      <c r="A97" s="1330" t="s">
        <v>21</v>
      </c>
      <c r="B97" s="1330"/>
      <c r="C97" s="1330"/>
      <c r="D97" s="1330"/>
      <c r="E97" s="1330"/>
      <c r="F97" s="1330"/>
      <c r="G97" s="1090">
        <f>ТЕО!C19</f>
        <v>2000</v>
      </c>
      <c r="H97" s="1088" t="s">
        <v>976</v>
      </c>
      <c r="J97" s="362"/>
    </row>
    <row r="98" spans="1:10" ht="15.75">
      <c r="A98" s="1331" t="s">
        <v>687</v>
      </c>
      <c r="B98" s="1331"/>
      <c r="C98" s="1331"/>
      <c r="D98" s="1331"/>
      <c r="E98" s="1331"/>
      <c r="F98" s="1331"/>
      <c r="G98" s="1089">
        <v>30.595736695206824</v>
      </c>
      <c r="H98" s="1087" t="s">
        <v>516</v>
      </c>
      <c r="J98" s="362"/>
    </row>
    <row r="99" spans="1:10" ht="15">
      <c r="A99" s="1330" t="s">
        <v>22</v>
      </c>
      <c r="B99" s="1330"/>
      <c r="C99" s="1330"/>
      <c r="D99" s="1330"/>
      <c r="E99" s="1330"/>
      <c r="F99" s="1330"/>
      <c r="G99" s="1090">
        <f>ТЕО!C21</f>
        <v>1200</v>
      </c>
      <c r="H99" s="1088" t="s">
        <v>976</v>
      </c>
      <c r="J99" s="362"/>
    </row>
    <row r="100" spans="1:10" ht="15.75">
      <c r="A100" s="1331" t="s">
        <v>689</v>
      </c>
      <c r="B100" s="1331"/>
      <c r="C100" s="1331"/>
      <c r="D100" s="1331"/>
      <c r="E100" s="1331"/>
      <c r="F100" s="1331"/>
      <c r="G100" s="1089">
        <v>3.0595736695206823</v>
      </c>
      <c r="H100" s="1087" t="s">
        <v>516</v>
      </c>
      <c r="J100" s="362"/>
    </row>
    <row r="101" spans="1:10" ht="15">
      <c r="A101" s="1330" t="s">
        <v>56</v>
      </c>
      <c r="B101" s="1330"/>
      <c r="C101" s="1330"/>
      <c r="D101" s="1330"/>
      <c r="E101" s="1330"/>
      <c r="F101" s="1330"/>
      <c r="G101" s="1090">
        <f>ТЕО!C23</f>
        <v>10000</v>
      </c>
      <c r="H101" s="1088" t="s">
        <v>976</v>
      </c>
      <c r="J101" s="362"/>
    </row>
    <row r="102" spans="1:10" ht="15.75">
      <c r="A102" s="1331" t="s">
        <v>688</v>
      </c>
      <c r="B102" s="1331"/>
      <c r="C102" s="1331"/>
      <c r="D102" s="1331"/>
      <c r="E102" s="1331"/>
      <c r="F102" s="1331"/>
      <c r="G102" s="1089">
        <v>18.357442017124093</v>
      </c>
      <c r="H102" s="1087" t="s">
        <v>516</v>
      </c>
      <c r="J102" s="362"/>
    </row>
    <row r="103" spans="1:10" ht="15">
      <c r="A103" s="1330" t="s">
        <v>24</v>
      </c>
      <c r="B103" s="1330"/>
      <c r="C103" s="1330"/>
      <c r="D103" s="1330"/>
      <c r="E103" s="1330"/>
      <c r="F103" s="1330"/>
      <c r="G103" s="1090">
        <f>ТЕО!C25</f>
        <v>10000</v>
      </c>
      <c r="H103" s="1088" t="s">
        <v>976</v>
      </c>
      <c r="J103" s="362"/>
    </row>
    <row r="104" spans="1:10" ht="15.75">
      <c r="A104" s="1331" t="s">
        <v>690</v>
      </c>
      <c r="B104" s="1331"/>
      <c r="C104" s="1331"/>
      <c r="D104" s="1331"/>
      <c r="E104" s="1331"/>
      <c r="F104" s="1331"/>
      <c r="G104" s="1089">
        <v>3.0595736695206823</v>
      </c>
      <c r="H104" s="1087" t="s">
        <v>516</v>
      </c>
      <c r="J104" s="362"/>
    </row>
    <row r="105" spans="1:10" ht="15">
      <c r="A105" s="1330" t="s">
        <v>23</v>
      </c>
      <c r="B105" s="1330"/>
      <c r="C105" s="1330"/>
      <c r="D105" s="1330"/>
      <c r="E105" s="1330"/>
      <c r="F105" s="1330"/>
      <c r="G105" s="1090">
        <f>ТЕО!C27</f>
        <v>700</v>
      </c>
      <c r="H105" s="1088" t="s">
        <v>976</v>
      </c>
      <c r="J105" s="362"/>
    </row>
    <row r="106" spans="1:10" ht="15.75">
      <c r="A106" s="1331" t="s">
        <v>691</v>
      </c>
      <c r="B106" s="1331"/>
      <c r="C106" s="1331"/>
      <c r="D106" s="1331"/>
      <c r="E106" s="1331"/>
      <c r="F106" s="1331"/>
      <c r="G106" s="1089">
        <v>0.1223829467808273</v>
      </c>
      <c r="H106" s="1087" t="s">
        <v>516</v>
      </c>
      <c r="J106" s="362"/>
    </row>
    <row r="107" spans="1:10" ht="15">
      <c r="A107" s="1330" t="s">
        <v>67</v>
      </c>
      <c r="B107" s="1330">
        <v>100000</v>
      </c>
      <c r="C107" s="1330"/>
      <c r="D107" s="1330"/>
      <c r="E107" s="1330"/>
      <c r="F107" s="1330"/>
      <c r="G107" s="1090">
        <f>ТЕО!C29</f>
        <v>100000</v>
      </c>
      <c r="H107" s="1088" t="s">
        <v>976</v>
      </c>
      <c r="J107" s="362"/>
    </row>
    <row r="108" spans="1:10" ht="10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</sheetData>
  <sheetProtection/>
  <mergeCells count="20">
    <mergeCell ref="K69:L69"/>
    <mergeCell ref="A68:H68"/>
    <mergeCell ref="A94:H94"/>
    <mergeCell ref="A1:H1"/>
    <mergeCell ref="A18:H18"/>
    <mergeCell ref="K5:L5"/>
    <mergeCell ref="K22:L22"/>
    <mergeCell ref="A21:H21"/>
    <mergeCell ref="A107:F107"/>
    <mergeCell ref="A104:F104"/>
    <mergeCell ref="A106:F106"/>
    <mergeCell ref="A97:F97"/>
    <mergeCell ref="A99:F99"/>
    <mergeCell ref="A101:F101"/>
    <mergeCell ref="A103:F103"/>
    <mergeCell ref="A105:F105"/>
    <mergeCell ref="A96:F96"/>
    <mergeCell ref="A98:F98"/>
    <mergeCell ref="A100:F100"/>
    <mergeCell ref="A102:F102"/>
  </mergeCells>
  <printOptions horizontalCentered="1"/>
  <pageMargins left="0.85" right="0.26" top="0.85" bottom="0.29" header="0.5118110236220472" footer="0.33"/>
  <pageSetup horizontalDpi="600" verticalDpi="600" orientation="portrait" paperSize="9" scale="83" r:id="rId2"/>
  <rowBreaks count="1" manualBreakCount="1">
    <brk id="56" max="7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84"/>
  <sheetViews>
    <sheetView showGridLines="0" zoomScalePageLayoutView="0" workbookViewId="0" topLeftCell="A29">
      <selection activeCell="C29" sqref="C29"/>
    </sheetView>
  </sheetViews>
  <sheetFormatPr defaultColWidth="9.00390625" defaultRowHeight="12.75"/>
  <cols>
    <col min="1" max="1" width="5.00390625" style="478" customWidth="1"/>
    <col min="2" max="2" width="11.00390625" style="493" bestFit="1" customWidth="1"/>
    <col min="3" max="3" width="72.00390625" style="0" bestFit="1" customWidth="1"/>
    <col min="4" max="4" width="25.25390625" style="0" customWidth="1"/>
    <col min="5" max="21" width="12.75390625" style="0" customWidth="1"/>
  </cols>
  <sheetData>
    <row r="1" spans="3:4" ht="15">
      <c r="C1" s="406" t="s">
        <v>246</v>
      </c>
      <c r="D1" s="494"/>
    </row>
    <row r="2" spans="1:4" ht="18">
      <c r="A2" s="1338" t="s">
        <v>247</v>
      </c>
      <c r="B2" s="1338"/>
      <c r="C2" s="1338"/>
      <c r="D2" s="494"/>
    </row>
    <row r="3" spans="1:4" s="497" customFormat="1" ht="13.5" customHeight="1">
      <c r="A3" s="495"/>
      <c r="B3" s="496"/>
      <c r="D3" s="494"/>
    </row>
    <row r="4" spans="1:4" s="497" customFormat="1" ht="13.5" customHeight="1">
      <c r="A4" s="495"/>
      <c r="B4" s="1339" t="s">
        <v>248</v>
      </c>
      <c r="C4" s="1339"/>
      <c r="D4" s="494"/>
    </row>
    <row r="5" spans="1:4" s="497" customFormat="1" ht="13.5" customHeight="1">
      <c r="A5" s="495"/>
      <c r="B5" s="1339" t="s">
        <v>249</v>
      </c>
      <c r="C5" s="1339"/>
      <c r="D5" s="494"/>
    </row>
    <row r="6" spans="1:4" s="497" customFormat="1" ht="13.5" customHeight="1">
      <c r="A6" s="495"/>
      <c r="B6" s="1339" t="s">
        <v>329</v>
      </c>
      <c r="C6" s="1339"/>
      <c r="D6" s="494"/>
    </row>
    <row r="7" spans="1:4" s="497" customFormat="1" ht="10.5" customHeight="1">
      <c r="A7" s="495"/>
      <c r="B7" s="498"/>
      <c r="C7" s="498"/>
      <c r="D7" s="494"/>
    </row>
    <row r="8" spans="1:4" s="501" customFormat="1" ht="13.5" customHeight="1">
      <c r="A8" s="498"/>
      <c r="B8" s="1336" t="s">
        <v>259</v>
      </c>
      <c r="C8" s="1336"/>
      <c r="D8" s="500"/>
    </row>
    <row r="9" spans="1:4" s="501" customFormat="1" ht="13.5" customHeight="1">
      <c r="A9" s="498"/>
      <c r="B9" s="1336" t="s">
        <v>260</v>
      </c>
      <c r="C9" s="1336"/>
      <c r="D9" s="500"/>
    </row>
    <row r="10" spans="1:4" s="501" customFormat="1" ht="13.5" customHeight="1">
      <c r="A10" s="498"/>
      <c r="B10" s="499"/>
      <c r="C10" s="499"/>
      <c r="D10" s="500"/>
    </row>
    <row r="11" spans="1:4" s="506" customFormat="1" ht="13.5" customHeight="1">
      <c r="A11" s="502">
        <v>1</v>
      </c>
      <c r="B11" s="503" t="s">
        <v>264</v>
      </c>
      <c r="C11" s="504" t="s">
        <v>265</v>
      </c>
      <c r="D11" s="505"/>
    </row>
    <row r="12" spans="1:4" s="506" customFormat="1" ht="13.5" customHeight="1">
      <c r="A12" s="502">
        <v>2</v>
      </c>
      <c r="B12" s="503" t="s">
        <v>266</v>
      </c>
      <c r="C12" s="504" t="s">
        <v>267</v>
      </c>
      <c r="D12" s="505"/>
    </row>
    <row r="13" spans="1:4" s="506" customFormat="1" ht="13.5" customHeight="1">
      <c r="A13" s="502">
        <v>3</v>
      </c>
      <c r="B13" s="503" t="s">
        <v>268</v>
      </c>
      <c r="C13" s="504" t="s">
        <v>269</v>
      </c>
      <c r="D13" s="505"/>
    </row>
    <row r="14" spans="1:4" s="506" customFormat="1" ht="13.5" customHeight="1">
      <c r="A14" s="502">
        <v>4</v>
      </c>
      <c r="B14" s="503" t="s">
        <v>330</v>
      </c>
      <c r="C14" s="504" t="s">
        <v>269</v>
      </c>
      <c r="D14" s="505"/>
    </row>
    <row r="15" spans="1:4" s="506" customFormat="1" ht="13.5" customHeight="1">
      <c r="A15" s="502">
        <v>5</v>
      </c>
      <c r="B15" s="503" t="s">
        <v>270</v>
      </c>
      <c r="C15" s="504" t="s">
        <v>271</v>
      </c>
      <c r="D15" s="505"/>
    </row>
    <row r="16" spans="1:4" s="506" customFormat="1" ht="13.5" customHeight="1">
      <c r="A16" s="502">
        <v>6</v>
      </c>
      <c r="B16" s="503" t="s">
        <v>272</v>
      </c>
      <c r="C16" s="504" t="s">
        <v>273</v>
      </c>
      <c r="D16" s="505"/>
    </row>
    <row r="17" spans="1:4" s="506" customFormat="1" ht="13.5" customHeight="1">
      <c r="A17" s="502">
        <v>7</v>
      </c>
      <c r="B17" s="503" t="s">
        <v>338</v>
      </c>
      <c r="C17" s="504" t="s">
        <v>339</v>
      </c>
      <c r="D17" s="505"/>
    </row>
    <row r="18" spans="1:4" s="506" customFormat="1" ht="13.5" customHeight="1">
      <c r="A18" s="502">
        <v>8</v>
      </c>
      <c r="B18" s="503" t="s">
        <v>337</v>
      </c>
      <c r="C18" s="504" t="s">
        <v>341</v>
      </c>
      <c r="D18" s="505"/>
    </row>
    <row r="19" spans="1:4" s="506" customFormat="1" ht="13.5" customHeight="1">
      <c r="A19" s="502">
        <v>9</v>
      </c>
      <c r="B19" s="503" t="s">
        <v>336</v>
      </c>
      <c r="C19" s="504" t="s">
        <v>340</v>
      </c>
      <c r="D19" s="505"/>
    </row>
    <row r="20" spans="1:4" s="506" customFormat="1" ht="13.5" customHeight="1">
      <c r="A20" s="502">
        <v>10</v>
      </c>
      <c r="B20" s="503" t="s">
        <v>335</v>
      </c>
      <c r="C20" s="504" t="s">
        <v>342</v>
      </c>
      <c r="D20" s="505"/>
    </row>
    <row r="21" spans="1:4" s="506" customFormat="1" ht="13.5" customHeight="1">
      <c r="A21" s="502">
        <v>11</v>
      </c>
      <c r="B21" s="503" t="s">
        <v>276</v>
      </c>
      <c r="C21" s="504" t="s">
        <v>343</v>
      </c>
      <c r="D21" s="505"/>
    </row>
    <row r="22" spans="1:4" s="506" customFormat="1" ht="13.5" customHeight="1">
      <c r="A22" s="502">
        <v>12</v>
      </c>
      <c r="B22" s="503" t="s">
        <v>274</v>
      </c>
      <c r="C22" s="504" t="s">
        <v>275</v>
      </c>
      <c r="D22" s="505"/>
    </row>
    <row r="23" spans="1:4" s="506" customFormat="1" ht="13.5" customHeight="1">
      <c r="A23" s="502">
        <v>13</v>
      </c>
      <c r="B23" s="503" t="s">
        <v>277</v>
      </c>
      <c r="C23" s="504" t="s">
        <v>278</v>
      </c>
      <c r="D23" s="505"/>
    </row>
    <row r="24" spans="1:4" s="506" customFormat="1" ht="13.5" customHeight="1">
      <c r="A24" s="502">
        <v>14</v>
      </c>
      <c r="B24" s="503" t="s">
        <v>279</v>
      </c>
      <c r="C24" s="504" t="s">
        <v>280</v>
      </c>
      <c r="D24" s="505"/>
    </row>
    <row r="25" spans="1:4" s="506" customFormat="1" ht="13.5" customHeight="1">
      <c r="A25" s="502">
        <v>15</v>
      </c>
      <c r="B25" s="507" t="s">
        <v>281</v>
      </c>
      <c r="C25" s="504" t="s">
        <v>282</v>
      </c>
      <c r="D25" s="505"/>
    </row>
    <row r="26" spans="1:4" s="506" customFormat="1" ht="15.75">
      <c r="A26" s="502">
        <v>16</v>
      </c>
      <c r="B26" s="507" t="s">
        <v>333</v>
      </c>
      <c r="C26" s="504" t="s">
        <v>334</v>
      </c>
      <c r="D26" s="505"/>
    </row>
    <row r="27" spans="1:4" s="506" customFormat="1" ht="15.75">
      <c r="A27" s="502">
        <v>17</v>
      </c>
      <c r="B27" s="503" t="s">
        <v>283</v>
      </c>
      <c r="C27" s="504" t="s">
        <v>344</v>
      </c>
      <c r="D27" s="505"/>
    </row>
    <row r="28" spans="1:4" s="506" customFormat="1" ht="15.75">
      <c r="A28" s="502">
        <v>18</v>
      </c>
      <c r="B28" s="503" t="s">
        <v>332</v>
      </c>
      <c r="C28" s="504" t="s">
        <v>345</v>
      </c>
      <c r="D28" s="505"/>
    </row>
    <row r="29" spans="1:4" s="506" customFormat="1" ht="15.75">
      <c r="A29" s="502">
        <v>19</v>
      </c>
      <c r="B29" s="503" t="s">
        <v>316</v>
      </c>
      <c r="C29" s="504" t="s">
        <v>346</v>
      </c>
      <c r="D29" s="505"/>
    </row>
    <row r="30" spans="1:4" s="506" customFormat="1" ht="15.75">
      <c r="A30" s="502">
        <v>20</v>
      </c>
      <c r="B30" s="503" t="s">
        <v>331</v>
      </c>
      <c r="C30" s="504" t="s">
        <v>347</v>
      </c>
      <c r="D30" s="505"/>
    </row>
    <row r="31" spans="1:4" s="506" customFormat="1" ht="15.75">
      <c r="A31" s="502">
        <v>21</v>
      </c>
      <c r="B31" s="503" t="s">
        <v>632</v>
      </c>
      <c r="C31" s="504" t="s">
        <v>633</v>
      </c>
      <c r="D31" s="505"/>
    </row>
    <row r="32" spans="1:4" s="506" customFormat="1" ht="15.75">
      <c r="A32" s="502">
        <v>22</v>
      </c>
      <c r="B32" s="503" t="s">
        <v>284</v>
      </c>
      <c r="C32" s="504" t="s">
        <v>285</v>
      </c>
      <c r="D32" s="505"/>
    </row>
    <row r="33" spans="1:4" s="506" customFormat="1" ht="15.75">
      <c r="A33" s="502">
        <v>23</v>
      </c>
      <c r="B33" s="503" t="s">
        <v>286</v>
      </c>
      <c r="C33" s="504" t="s">
        <v>287</v>
      </c>
      <c r="D33" s="505"/>
    </row>
    <row r="34" spans="1:4" s="506" customFormat="1" ht="15.75">
      <c r="A34" s="502">
        <v>24</v>
      </c>
      <c r="B34" s="503" t="s">
        <v>288</v>
      </c>
      <c r="C34" s="504" t="s">
        <v>289</v>
      </c>
      <c r="D34" s="505"/>
    </row>
    <row r="35" spans="1:4" s="506" customFormat="1" ht="15.75">
      <c r="A35" s="502">
        <v>25</v>
      </c>
      <c r="B35" s="503" t="s">
        <v>290</v>
      </c>
      <c r="C35" s="504" t="s">
        <v>291</v>
      </c>
      <c r="D35" s="505"/>
    </row>
    <row r="36" spans="1:4" s="506" customFormat="1" ht="15.75">
      <c r="A36" s="502">
        <v>26</v>
      </c>
      <c r="B36" s="503" t="s">
        <v>292</v>
      </c>
      <c r="C36" s="504" t="s">
        <v>293</v>
      </c>
      <c r="D36" s="505"/>
    </row>
    <row r="37" spans="1:4" s="506" customFormat="1" ht="15.75">
      <c r="A37" s="502">
        <v>27</v>
      </c>
      <c r="B37" s="503" t="s">
        <v>294</v>
      </c>
      <c r="C37" s="504" t="s">
        <v>295</v>
      </c>
      <c r="D37" s="505"/>
    </row>
    <row r="38" spans="1:4" s="506" customFormat="1" ht="12.75" customHeight="1">
      <c r="A38" s="502">
        <v>28</v>
      </c>
      <c r="B38" s="503" t="s">
        <v>296</v>
      </c>
      <c r="C38" s="504" t="s">
        <v>297</v>
      </c>
      <c r="D38" s="505"/>
    </row>
    <row r="39" spans="1:4" s="506" customFormat="1" ht="12.75" customHeight="1">
      <c r="A39" s="502">
        <v>29</v>
      </c>
      <c r="B39" s="503" t="s">
        <v>298</v>
      </c>
      <c r="C39" s="504" t="s">
        <v>299</v>
      </c>
      <c r="D39" s="505"/>
    </row>
    <row r="40" spans="1:4" s="506" customFormat="1" ht="12.75" customHeight="1">
      <c r="A40" s="502"/>
      <c r="B40" s="503"/>
      <c r="C40" s="504"/>
      <c r="D40" s="505"/>
    </row>
    <row r="41" spans="1:4" s="506" customFormat="1" ht="26.25" customHeight="1">
      <c r="A41" s="495"/>
      <c r="B41" s="1337" t="s">
        <v>300</v>
      </c>
      <c r="C41" s="1337"/>
      <c r="D41" s="505"/>
    </row>
    <row r="42" spans="1:4" s="506" customFormat="1" ht="26.25" customHeight="1">
      <c r="A42" s="495" t="s">
        <v>261</v>
      </c>
      <c r="B42" s="1337" t="s">
        <v>301</v>
      </c>
      <c r="C42" s="1337"/>
      <c r="D42" s="505"/>
    </row>
    <row r="43" spans="1:4" s="506" customFormat="1" ht="27.75" customHeight="1">
      <c r="A43" s="495" t="s">
        <v>262</v>
      </c>
      <c r="B43" s="1337" t="s">
        <v>310</v>
      </c>
      <c r="C43" s="1337"/>
      <c r="D43" s="505"/>
    </row>
    <row r="44" spans="1:4" s="506" customFormat="1" ht="26.25" customHeight="1">
      <c r="A44" s="495" t="s">
        <v>263</v>
      </c>
      <c r="B44" s="1337" t="s">
        <v>311</v>
      </c>
      <c r="C44" s="1337"/>
      <c r="D44" s="505"/>
    </row>
    <row r="45" spans="1:4" s="497" customFormat="1" ht="15">
      <c r="A45" s="495"/>
      <c r="B45" s="1337"/>
      <c r="C45" s="1337"/>
      <c r="D45" s="505"/>
    </row>
    <row r="46" spans="1:4" s="497" customFormat="1" ht="15">
      <c r="A46" s="495"/>
      <c r="B46" s="1337"/>
      <c r="C46" s="1337"/>
      <c r="D46" s="505"/>
    </row>
    <row r="47" spans="1:4" s="497" customFormat="1" ht="89.25" customHeight="1">
      <c r="A47" s="505"/>
      <c r="B47" s="505"/>
      <c r="C47" s="505"/>
      <c r="D47" s="505"/>
    </row>
    <row r="48" s="497" customFormat="1" ht="15"/>
    <row r="49" s="497" customFormat="1" ht="15"/>
    <row r="50" s="497" customFormat="1" ht="15"/>
    <row r="51" s="497" customFormat="1" ht="15"/>
    <row r="52" s="497" customFormat="1" ht="15"/>
    <row r="53" s="497" customFormat="1" ht="15"/>
    <row r="54" s="497" customFormat="1" ht="15"/>
    <row r="55" s="497" customFormat="1" ht="15"/>
    <row r="56" s="497" customFormat="1" ht="15"/>
    <row r="57" s="497" customFormat="1" ht="15"/>
    <row r="58" s="497" customFormat="1" ht="15"/>
    <row r="59" s="497" customFormat="1" ht="15"/>
    <row r="60" spans="1:3" s="497" customFormat="1" ht="15">
      <c r="A60" s="495"/>
      <c r="B60" s="1337"/>
      <c r="C60" s="1337"/>
    </row>
    <row r="61" spans="1:3" s="497" customFormat="1" ht="15">
      <c r="A61" s="495"/>
      <c r="B61" s="1337"/>
      <c r="C61" s="1337"/>
    </row>
    <row r="62" spans="1:3" s="497" customFormat="1" ht="15">
      <c r="A62" s="495"/>
      <c r="B62" s="1337"/>
      <c r="C62" s="1337"/>
    </row>
    <row r="63" spans="1:3" s="497" customFormat="1" ht="15">
      <c r="A63" s="495"/>
      <c r="B63" s="1337"/>
      <c r="C63" s="1337"/>
    </row>
    <row r="64" spans="1:3" s="497" customFormat="1" ht="15">
      <c r="A64" s="495"/>
      <c r="B64" s="1337"/>
      <c r="C64" s="1337"/>
    </row>
    <row r="65" spans="1:3" s="497" customFormat="1" ht="15">
      <c r="A65" s="495"/>
      <c r="B65" s="1337"/>
      <c r="C65" s="1337"/>
    </row>
    <row r="66" spans="1:3" s="497" customFormat="1" ht="15">
      <c r="A66" s="495"/>
      <c r="B66" s="1337"/>
      <c r="C66" s="1337"/>
    </row>
    <row r="67" spans="1:3" s="497" customFormat="1" ht="15">
      <c r="A67" s="495"/>
      <c r="B67" s="1337"/>
      <c r="C67" s="1337"/>
    </row>
    <row r="68" spans="1:3" s="497" customFormat="1" ht="15">
      <c r="A68" s="495"/>
      <c r="B68" s="1337"/>
      <c r="C68" s="1337"/>
    </row>
    <row r="69" spans="1:3" s="497" customFormat="1" ht="15">
      <c r="A69" s="495"/>
      <c r="B69" s="1337"/>
      <c r="C69" s="1337"/>
    </row>
    <row r="70" spans="1:3" s="497" customFormat="1" ht="15">
      <c r="A70" s="495"/>
      <c r="B70" s="1337"/>
      <c r="C70" s="1337"/>
    </row>
    <row r="71" spans="1:3" s="497" customFormat="1" ht="15">
      <c r="A71" s="495"/>
      <c r="B71" s="1337"/>
      <c r="C71" s="1337"/>
    </row>
    <row r="72" spans="1:3" s="497" customFormat="1" ht="15">
      <c r="A72" s="495"/>
      <c r="B72" s="1337"/>
      <c r="C72" s="1337"/>
    </row>
    <row r="73" spans="1:3" s="497" customFormat="1" ht="15">
      <c r="A73" s="495"/>
      <c r="B73" s="1337"/>
      <c r="C73" s="1337"/>
    </row>
    <row r="74" spans="1:3" s="497" customFormat="1" ht="15">
      <c r="A74" s="495"/>
      <c r="B74" s="1337"/>
      <c r="C74" s="1337"/>
    </row>
    <row r="75" spans="1:3" s="497" customFormat="1" ht="15">
      <c r="A75" s="495"/>
      <c r="B75" s="1337"/>
      <c r="C75" s="1337"/>
    </row>
    <row r="76" spans="1:3" s="497" customFormat="1" ht="15">
      <c r="A76" s="495"/>
      <c r="B76" s="1336"/>
      <c r="C76" s="1336"/>
    </row>
    <row r="77" spans="1:3" s="497" customFormat="1" ht="15">
      <c r="A77" s="495"/>
      <c r="B77" s="1336"/>
      <c r="C77" s="1336"/>
    </row>
    <row r="78" spans="1:3" s="497" customFormat="1" ht="15">
      <c r="A78" s="495"/>
      <c r="B78" s="1336"/>
      <c r="C78" s="1336"/>
    </row>
    <row r="79" spans="1:3" s="497" customFormat="1" ht="15">
      <c r="A79" s="495"/>
      <c r="B79" s="1336"/>
      <c r="C79" s="1336"/>
    </row>
    <row r="80" spans="1:3" s="497" customFormat="1" ht="15">
      <c r="A80" s="495"/>
      <c r="B80" s="1336"/>
      <c r="C80" s="1336"/>
    </row>
    <row r="81" spans="1:3" s="497" customFormat="1" ht="15">
      <c r="A81" s="495"/>
      <c r="B81" s="1336"/>
      <c r="C81" s="1336"/>
    </row>
    <row r="82" spans="1:3" s="497" customFormat="1" ht="15">
      <c r="A82" s="495"/>
      <c r="B82" s="1336"/>
      <c r="C82" s="1336"/>
    </row>
    <row r="83" spans="1:2" s="497" customFormat="1" ht="15">
      <c r="A83" s="495"/>
      <c r="B83" s="496"/>
    </row>
    <row r="84" spans="1:2" s="497" customFormat="1" ht="15">
      <c r="A84" s="495"/>
      <c r="B84" s="496"/>
    </row>
  </sheetData>
  <sheetProtection/>
  <mergeCells count="35">
    <mergeCell ref="B5:C5"/>
    <mergeCell ref="B60:C60"/>
    <mergeCell ref="B61:C61"/>
    <mergeCell ref="B46:C46"/>
    <mergeCell ref="A2:C2"/>
    <mergeCell ref="B8:C8"/>
    <mergeCell ref="B44:C44"/>
    <mergeCell ref="B45:C45"/>
    <mergeCell ref="B9:C9"/>
    <mergeCell ref="B41:C41"/>
    <mergeCell ref="B42:C42"/>
    <mergeCell ref="B6:C6"/>
    <mergeCell ref="B43:C43"/>
    <mergeCell ref="B4:C4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2:C82"/>
    <mergeCell ref="B78:C78"/>
    <mergeCell ref="B79:C79"/>
    <mergeCell ref="B80:C80"/>
    <mergeCell ref="B81:C81"/>
    <mergeCell ref="B74:C74"/>
    <mergeCell ref="B75:C75"/>
    <mergeCell ref="B76:C76"/>
    <mergeCell ref="B77:C77"/>
  </mergeCells>
  <printOptions/>
  <pageMargins left="0.87" right="0.16" top="0.66" bottom="0.25" header="0.5" footer="0.2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0"/>
  <sheetViews>
    <sheetView showGridLines="0" tabSelected="1" zoomScale="75" zoomScaleNormal="75" zoomScalePageLayoutView="0" workbookViewId="0" topLeftCell="A1">
      <selection activeCell="H6" sqref="H6"/>
    </sheetView>
  </sheetViews>
  <sheetFormatPr defaultColWidth="14.375" defaultRowHeight="12.75"/>
  <cols>
    <col min="1" max="1" width="26.125" style="48" customWidth="1"/>
    <col min="2" max="2" width="11.00390625" style="48" customWidth="1"/>
    <col min="3" max="4" width="14.25390625" style="48" customWidth="1"/>
    <col min="5" max="5" width="16.75390625" style="48" customWidth="1"/>
    <col min="6" max="6" width="14.25390625" style="48" customWidth="1"/>
    <col min="7" max="7" width="24.75390625" style="48" customWidth="1"/>
    <col min="8" max="8" width="33.625" style="48" bestFit="1" customWidth="1"/>
    <col min="9" max="16384" width="14.375" style="48" customWidth="1"/>
  </cols>
  <sheetData>
    <row r="1" spans="6:7" ht="30.75" customHeight="1">
      <c r="F1" s="406" t="s">
        <v>312</v>
      </c>
      <c r="G1" s="344"/>
    </row>
    <row r="2" spans="1:7" s="91" customFormat="1" ht="18">
      <c r="A2" s="1347" t="s">
        <v>348</v>
      </c>
      <c r="B2" s="1347"/>
      <c r="C2" s="1347"/>
      <c r="D2" s="1347"/>
      <c r="E2" s="1347"/>
      <c r="F2" s="1347"/>
      <c r="G2" s="344"/>
    </row>
    <row r="3" spans="1:7" s="219" customFormat="1" ht="6.75" customHeight="1" thickBot="1">
      <c r="A3" s="246"/>
      <c r="B3" s="246"/>
      <c r="C3" s="246"/>
      <c r="D3" s="246"/>
      <c r="E3" s="246"/>
      <c r="F3" s="246"/>
      <c r="G3" s="344"/>
    </row>
    <row r="4" spans="1:8" s="91" customFormat="1" ht="18.75" customHeight="1" thickBot="1">
      <c r="A4" s="1340" t="s">
        <v>543</v>
      </c>
      <c r="B4" s="1341"/>
      <c r="C4" s="1341"/>
      <c r="D4" s="1341"/>
      <c r="E4" s="1341"/>
      <c r="F4" s="1342"/>
      <c r="G4" s="477" t="s">
        <v>436</v>
      </c>
      <c r="H4" s="219"/>
    </row>
    <row r="5" spans="1:7" ht="21" customHeight="1">
      <c r="A5" s="237" t="s">
        <v>313</v>
      </c>
      <c r="B5" s="247"/>
      <c r="C5" s="247"/>
      <c r="D5" s="238"/>
      <c r="E5" s="1009">
        <f>SUM(E6:E8)</f>
        <v>459992.65139726026</v>
      </c>
      <c r="F5" s="239" t="s">
        <v>516</v>
      </c>
      <c r="G5" s="344"/>
    </row>
    <row r="6" spans="1:7" s="91" customFormat="1" ht="21" customHeight="1">
      <c r="A6" s="1344" t="s">
        <v>172</v>
      </c>
      <c r="B6" s="1345"/>
      <c r="C6" s="1345"/>
      <c r="D6" s="1346"/>
      <c r="E6" s="1009">
        <f>ГРФ!U34</f>
        <v>100000</v>
      </c>
      <c r="F6" s="239" t="s">
        <v>516</v>
      </c>
      <c r="G6" s="477"/>
    </row>
    <row r="7" spans="1:7" s="91" customFormat="1" ht="21" customHeight="1">
      <c r="A7" s="1344" t="s">
        <v>171</v>
      </c>
      <c r="B7" s="1345"/>
      <c r="C7" s="1345"/>
      <c r="D7" s="1346"/>
      <c r="E7" s="1009">
        <f>'%1'!I17</f>
        <v>29992.65139726027</v>
      </c>
      <c r="F7" s="239" t="s">
        <v>516</v>
      </c>
      <c r="G7" s="477"/>
    </row>
    <row r="8" spans="1:7" ht="21" customHeight="1">
      <c r="A8" s="237" t="s">
        <v>366</v>
      </c>
      <c r="B8" s="247"/>
      <c r="C8" s="247"/>
      <c r="D8" s="238"/>
      <c r="E8" s="1009">
        <f>ГРФ!V34</f>
        <v>330000</v>
      </c>
      <c r="F8" s="239" t="s">
        <v>516</v>
      </c>
      <c r="G8" s="344"/>
    </row>
    <row r="9" spans="1:7" s="219" customFormat="1" ht="21" customHeight="1">
      <c r="A9" s="95" t="s">
        <v>367</v>
      </c>
      <c r="B9" s="248"/>
      <c r="C9" s="248"/>
      <c r="D9" s="93"/>
      <c r="E9" s="967">
        <f>ЕФ!E9</f>
        <v>5</v>
      </c>
      <c r="F9" s="94" t="s">
        <v>544</v>
      </c>
      <c r="G9" s="344"/>
    </row>
    <row r="10" spans="1:7" s="219" customFormat="1" ht="21" customHeight="1">
      <c r="A10" s="95" t="s">
        <v>368</v>
      </c>
      <c r="B10" s="96"/>
      <c r="C10" s="97"/>
      <c r="D10" s="93"/>
      <c r="E10" s="968">
        <f>ЕФ!E10</f>
        <v>0.24</v>
      </c>
      <c r="F10" s="94" t="s">
        <v>545</v>
      </c>
      <c r="G10" s="344"/>
    </row>
    <row r="11" spans="1:7" s="219" customFormat="1" ht="21" customHeight="1">
      <c r="A11" s="95" t="s">
        <v>546</v>
      </c>
      <c r="B11" s="96"/>
      <c r="C11" s="97"/>
      <c r="D11" s="93"/>
      <c r="E11" s="968">
        <f>ЕФ!E11</f>
        <v>0.12</v>
      </c>
      <c r="F11" s="94" t="s">
        <v>545</v>
      </c>
      <c r="G11" s="344"/>
    </row>
    <row r="12" spans="1:7" s="219" customFormat="1" ht="21" customHeight="1">
      <c r="A12" s="92" t="s">
        <v>715</v>
      </c>
      <c r="B12" s="96"/>
      <c r="C12" s="97"/>
      <c r="D12" s="93"/>
      <c r="E12" s="1348" t="s">
        <v>714</v>
      </c>
      <c r="F12" s="1349"/>
      <c r="G12" s="344"/>
    </row>
    <row r="13" spans="1:7" s="219" customFormat="1" ht="21" customHeight="1">
      <c r="A13" s="92" t="s">
        <v>713</v>
      </c>
      <c r="B13" s="98"/>
      <c r="C13" s="99"/>
      <c r="D13" s="93"/>
      <c r="E13" s="1348" t="s">
        <v>714</v>
      </c>
      <c r="F13" s="1349"/>
      <c r="G13" s="344"/>
    </row>
    <row r="14" spans="1:7" s="219" customFormat="1" ht="21" customHeight="1" thickBot="1">
      <c r="A14" s="100" t="s">
        <v>547</v>
      </c>
      <c r="B14" s="101"/>
      <c r="C14" s="102"/>
      <c r="D14" s="103"/>
      <c r="E14" s="486" t="s">
        <v>729</v>
      </c>
      <c r="F14" s="487"/>
      <c r="G14" s="344"/>
    </row>
    <row r="15" spans="1:7" s="219" customFormat="1" ht="21" customHeight="1" thickBot="1" thickTop="1">
      <c r="A15" s="246"/>
      <c r="B15" s="246"/>
      <c r="C15" s="246"/>
      <c r="D15" s="246"/>
      <c r="E15" s="246"/>
      <c r="F15" s="246"/>
      <c r="G15" s="344"/>
    </row>
    <row r="16" spans="1:7" s="106" customFormat="1" ht="21" customHeight="1" thickBot="1">
      <c r="A16" s="1340" t="s">
        <v>548</v>
      </c>
      <c r="B16" s="1341"/>
      <c r="C16" s="1341"/>
      <c r="D16" s="1341"/>
      <c r="E16" s="1341"/>
      <c r="F16" s="1342"/>
      <c r="G16" s="344"/>
    </row>
    <row r="17" spans="1:7" s="219" customFormat="1" ht="21" customHeight="1">
      <c r="A17" s="92" t="s">
        <v>549</v>
      </c>
      <c r="B17" s="107"/>
      <c r="C17" s="108"/>
      <c r="D17" s="488" t="s">
        <v>550</v>
      </c>
      <c r="E17" s="489">
        <f>ЕФ!E17</f>
        <v>620653.30719506</v>
      </c>
      <c r="F17" s="111" t="str">
        <f>F8</f>
        <v>грн.</v>
      </c>
      <c r="G17" s="344"/>
    </row>
    <row r="18" spans="1:7" s="219" customFormat="1" ht="21" customHeight="1">
      <c r="A18" s="112" t="s">
        <v>551</v>
      </c>
      <c r="B18" s="107"/>
      <c r="C18" s="108"/>
      <c r="D18" s="490" t="s">
        <v>552</v>
      </c>
      <c r="E18" s="489">
        <f>ЕФ!E18</f>
        <v>856875.414043156</v>
      </c>
      <c r="F18" s="111" t="str">
        <f>F8</f>
        <v>грн.</v>
      </c>
      <c r="G18" s="344"/>
    </row>
    <row r="19" spans="1:7" s="219" customFormat="1" ht="21" customHeight="1">
      <c r="A19" s="112" t="s">
        <v>553</v>
      </c>
      <c r="B19" s="114"/>
      <c r="C19" s="115"/>
      <c r="D19" s="491" t="s">
        <v>554</v>
      </c>
      <c r="E19" s="489">
        <f>ЕФ!E19</f>
        <v>396882.76264589577</v>
      </c>
      <c r="F19" s="111" t="str">
        <f>F8</f>
        <v>грн.</v>
      </c>
      <c r="G19" s="344"/>
    </row>
    <row r="20" spans="1:7" s="219" customFormat="1" ht="21" customHeight="1">
      <c r="A20" s="112" t="s">
        <v>555</v>
      </c>
      <c r="B20" s="114"/>
      <c r="C20" s="115"/>
      <c r="D20" s="491" t="s">
        <v>556</v>
      </c>
      <c r="E20" s="1008">
        <f>ЕФ!E20</f>
        <v>3.2</v>
      </c>
      <c r="F20" s="118" t="s">
        <v>544</v>
      </c>
      <c r="G20" s="344"/>
    </row>
    <row r="21" spans="1:7" s="219" customFormat="1" ht="21" customHeight="1">
      <c r="A21" s="112" t="s">
        <v>557</v>
      </c>
      <c r="B21" s="114"/>
      <c r="C21" s="115"/>
      <c r="D21" s="491" t="s">
        <v>558</v>
      </c>
      <c r="E21" s="1008">
        <f>ЕФ!E21</f>
        <v>5</v>
      </c>
      <c r="F21" s="118" t="s">
        <v>544</v>
      </c>
      <c r="G21" s="344"/>
    </row>
    <row r="22" spans="1:7" s="219" customFormat="1" ht="21" customHeight="1">
      <c r="A22" s="112" t="s">
        <v>559</v>
      </c>
      <c r="B22" s="119"/>
      <c r="C22" s="35"/>
      <c r="D22" s="491" t="s">
        <v>560</v>
      </c>
      <c r="E22" s="520">
        <f>ЕФ!E22</f>
        <v>0.34102746037379983</v>
      </c>
      <c r="F22" s="118" t="s">
        <v>545</v>
      </c>
      <c r="G22" s="344"/>
    </row>
    <row r="23" spans="1:7" s="219" customFormat="1" ht="21" customHeight="1">
      <c r="A23" s="112" t="s">
        <v>561</v>
      </c>
      <c r="B23" s="119"/>
      <c r="C23" s="35"/>
      <c r="D23" s="491" t="s">
        <v>562</v>
      </c>
      <c r="E23" s="520">
        <f>ЕФ!E23</f>
        <v>0.33471930730910615</v>
      </c>
      <c r="F23" s="118" t="s">
        <v>545</v>
      </c>
      <c r="G23" s="344"/>
    </row>
    <row r="24" spans="1:7" s="219" customFormat="1" ht="21" customHeight="1" thickBot="1">
      <c r="A24" s="121" t="s">
        <v>563</v>
      </c>
      <c r="B24" s="122"/>
      <c r="C24" s="123"/>
      <c r="D24" s="492" t="s">
        <v>564</v>
      </c>
      <c r="E24" s="966">
        <f>ЕФ!E24</f>
        <v>1.8628023979086106</v>
      </c>
      <c r="F24" s="126"/>
      <c r="G24" s="344"/>
    </row>
    <row r="25" spans="1:7" s="219" customFormat="1" ht="21" customHeight="1" thickBot="1" thickTop="1">
      <c r="A25" s="246"/>
      <c r="B25" s="246"/>
      <c r="C25" s="246"/>
      <c r="D25" s="246"/>
      <c r="E25" s="246"/>
      <c r="F25" s="246"/>
      <c r="G25" s="344"/>
    </row>
    <row r="26" spans="1:7" s="106" customFormat="1" ht="21" customHeight="1" thickBot="1">
      <c r="A26" s="1340" t="s">
        <v>314</v>
      </c>
      <c r="B26" s="1341"/>
      <c r="C26" s="1341"/>
      <c r="D26" s="1341"/>
      <c r="E26" s="1341"/>
      <c r="F26" s="1342"/>
      <c r="G26" s="344"/>
    </row>
    <row r="27" spans="1:7" s="219" customFormat="1" ht="21" customHeight="1">
      <c r="A27" s="92" t="s">
        <v>315</v>
      </c>
      <c r="B27" s="107"/>
      <c r="C27" s="108"/>
      <c r="D27" s="490" t="s">
        <v>316</v>
      </c>
      <c r="E27" s="508">
        <f>КЕШ!J12</f>
        <v>460305.88149466674</v>
      </c>
      <c r="F27" s="94" t="s">
        <v>516</v>
      </c>
      <c r="G27" s="344"/>
    </row>
    <row r="28" spans="1:7" s="219" customFormat="1" ht="21" customHeight="1">
      <c r="A28" s="112" t="s">
        <v>317</v>
      </c>
      <c r="B28" s="107"/>
      <c r="C28" s="108"/>
      <c r="D28" s="509">
        <f>КЕШ!C20</f>
        <v>0.25</v>
      </c>
      <c r="E28" s="508">
        <f>КЕШ!J20</f>
        <v>255693.5322730136</v>
      </c>
      <c r="F28" s="94" t="s">
        <v>516</v>
      </c>
      <c r="G28" s="344"/>
    </row>
    <row r="29" spans="1:7" s="219" customFormat="1" ht="21" customHeight="1">
      <c r="A29" s="510" t="s">
        <v>318</v>
      </c>
      <c r="B29" s="511"/>
      <c r="C29" s="512"/>
      <c r="D29" s="513">
        <f>ПРС!E23</f>
        <v>0.38</v>
      </c>
      <c r="E29" s="514">
        <f>ВИТ!G14*D29</f>
        <v>351420.16831104003</v>
      </c>
      <c r="F29" s="515" t="s">
        <v>516</v>
      </c>
      <c r="G29" s="344"/>
    </row>
    <row r="30" spans="1:7" s="219" customFormat="1" ht="21" customHeight="1" thickBot="1">
      <c r="A30" s="1343" t="s">
        <v>319</v>
      </c>
      <c r="B30" s="1343"/>
      <c r="C30" s="1343"/>
      <c r="D30" s="1343"/>
      <c r="E30" s="516">
        <f>E27+E28</f>
        <v>715999.4137676803</v>
      </c>
      <c r="F30" s="517" t="s">
        <v>516</v>
      </c>
      <c r="G30" s="344"/>
    </row>
    <row r="31" spans="1:7" s="219" customFormat="1" ht="21" customHeight="1">
      <c r="A31" s="1350" t="s">
        <v>320</v>
      </c>
      <c r="B31" s="1351"/>
      <c r="C31" s="1351"/>
      <c r="D31" s="1352"/>
      <c r="E31" s="518">
        <f>ГРФ!U34</f>
        <v>100000</v>
      </c>
      <c r="F31" s="239" t="s">
        <v>516</v>
      </c>
      <c r="G31" s="344"/>
    </row>
    <row r="32" spans="1:7" s="219" customFormat="1" ht="21" customHeight="1">
      <c r="A32" s="1353" t="s">
        <v>321</v>
      </c>
      <c r="B32" s="1354"/>
      <c r="C32" s="1354"/>
      <c r="D32" s="1355"/>
      <c r="E32" s="518">
        <f>'%1'!I16</f>
        <v>29992.65139726027</v>
      </c>
      <c r="F32" s="239" t="s">
        <v>516</v>
      </c>
      <c r="G32" s="344"/>
    </row>
    <row r="33" spans="1:7" s="219" customFormat="1" ht="21" customHeight="1">
      <c r="A33" s="1353" t="s">
        <v>349</v>
      </c>
      <c r="B33" s="1354"/>
      <c r="C33" s="1354"/>
      <c r="D33" s="1355"/>
      <c r="E33" s="518">
        <f>E31+E32</f>
        <v>129992.65139726027</v>
      </c>
      <c r="F33" s="239" t="s">
        <v>516</v>
      </c>
      <c r="G33" s="344"/>
    </row>
    <row r="34" spans="1:7" s="219" customFormat="1" ht="21" customHeight="1" thickBot="1">
      <c r="A34" s="1359" t="s">
        <v>322</v>
      </c>
      <c r="B34" s="1360"/>
      <c r="C34" s="1360"/>
      <c r="D34" s="1361"/>
      <c r="E34" s="969">
        <f>'%5'!F37</f>
        <v>170392.65139726026</v>
      </c>
      <c r="F34" s="519" t="s">
        <v>516</v>
      </c>
      <c r="G34" s="344"/>
    </row>
    <row r="35" spans="1:7" s="219" customFormat="1" ht="21" customHeight="1" thickBot="1">
      <c r="A35" s="246"/>
      <c r="B35" s="246"/>
      <c r="C35" s="246"/>
      <c r="D35" s="246"/>
      <c r="E35" s="246"/>
      <c r="F35" s="246"/>
      <c r="G35" s="344"/>
    </row>
    <row r="36" spans="1:7" s="219" customFormat="1" ht="21" customHeight="1" thickBot="1">
      <c r="A36" s="1340" t="s">
        <v>323</v>
      </c>
      <c r="B36" s="1341"/>
      <c r="C36" s="1341"/>
      <c r="D36" s="1341"/>
      <c r="E36" s="1341"/>
      <c r="F36" s="1342"/>
      <c r="G36" s="344"/>
    </row>
    <row r="37" spans="1:7" s="219" customFormat="1" ht="31.5" customHeight="1">
      <c r="A37" s="1362" t="s">
        <v>324</v>
      </c>
      <c r="B37" s="1363"/>
      <c r="C37" s="1363"/>
      <c r="D37" s="1364"/>
      <c r="E37" s="520">
        <v>1.1205</v>
      </c>
      <c r="F37" s="521"/>
      <c r="G37" s="344"/>
    </row>
    <row r="38" spans="1:7" s="219" customFormat="1" ht="21" customHeight="1" thickBot="1">
      <c r="A38" s="1356" t="s">
        <v>325</v>
      </c>
      <c r="B38" s="1357"/>
      <c r="C38" s="1357"/>
      <c r="D38" s="1358"/>
      <c r="E38" s="970">
        <f>100%-73.65%</f>
        <v>0.26349999999999996</v>
      </c>
      <c r="F38" s="971"/>
      <c r="G38" s="344"/>
    </row>
    <row r="39" spans="1:7" s="219" customFormat="1" ht="101.25" customHeight="1">
      <c r="A39" s="344"/>
      <c r="B39" s="344"/>
      <c r="C39" s="344"/>
      <c r="D39" s="344"/>
      <c r="E39" s="344"/>
      <c r="F39" s="344"/>
      <c r="G39" s="344"/>
    </row>
    <row r="40" s="219" customFormat="1" ht="12.75"/>
    <row r="41" s="219" customFormat="1" ht="12.75"/>
    <row r="42" s="219" customFormat="1" ht="12.75"/>
    <row r="43" s="219" customFormat="1" ht="12.75"/>
    <row r="44" s="219" customFormat="1" ht="12.75"/>
    <row r="45" spans="1:6" s="219" customFormat="1" ht="12.75">
      <c r="A45" s="48"/>
      <c r="B45" s="48"/>
      <c r="C45" s="48"/>
      <c r="D45" s="48"/>
      <c r="E45" s="48"/>
      <c r="F45" s="48"/>
    </row>
    <row r="46" spans="1:6" s="219" customFormat="1" ht="12.75">
      <c r="A46" s="48"/>
      <c r="B46" s="48"/>
      <c r="C46" s="48"/>
      <c r="D46" s="48"/>
      <c r="E46" s="48"/>
      <c r="F46" s="48"/>
    </row>
    <row r="47" spans="1:6" s="219" customFormat="1" ht="12.75">
      <c r="A47" s="48"/>
      <c r="B47" s="48"/>
      <c r="C47" s="48"/>
      <c r="D47" s="48"/>
      <c r="E47" s="48"/>
      <c r="F47" s="48"/>
    </row>
    <row r="48" spans="1:6" s="219" customFormat="1" ht="12.75">
      <c r="A48" s="48"/>
      <c r="B48" s="48"/>
      <c r="C48" s="48"/>
      <c r="D48" s="48"/>
      <c r="E48" s="48"/>
      <c r="F48" s="48"/>
    </row>
    <row r="49" spans="1:6" s="219" customFormat="1" ht="12.75">
      <c r="A49" s="48"/>
      <c r="B49" s="48"/>
      <c r="C49" s="48"/>
      <c r="D49" s="48"/>
      <c r="E49" s="48"/>
      <c r="F49" s="48"/>
    </row>
    <row r="50" spans="1:6" s="219" customFormat="1" ht="12.75">
      <c r="A50" s="48"/>
      <c r="B50" s="48"/>
      <c r="C50" s="48"/>
      <c r="D50" s="48"/>
      <c r="E50" s="48"/>
      <c r="F50" s="48"/>
    </row>
  </sheetData>
  <sheetProtection/>
  <mergeCells count="16">
    <mergeCell ref="A31:D31"/>
    <mergeCell ref="A33:D33"/>
    <mergeCell ref="A38:D38"/>
    <mergeCell ref="A36:F36"/>
    <mergeCell ref="A34:D34"/>
    <mergeCell ref="A37:D37"/>
    <mergeCell ref="A32:D32"/>
    <mergeCell ref="A26:F26"/>
    <mergeCell ref="A30:D30"/>
    <mergeCell ref="A7:D7"/>
    <mergeCell ref="A2:F2"/>
    <mergeCell ref="A4:F4"/>
    <mergeCell ref="A16:F16"/>
    <mergeCell ref="E12:F12"/>
    <mergeCell ref="E13:F13"/>
    <mergeCell ref="A6:D6"/>
  </mergeCells>
  <printOptions horizontalCentered="1"/>
  <pageMargins left="0.69" right="0.23" top="0.6" bottom="0.4724409448818898" header="0.5118110236220472" footer="0.4724409448818898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8"/>
  <sheetViews>
    <sheetView showGridLines="0" zoomScalePageLayoutView="0" workbookViewId="0" topLeftCell="A1">
      <selection activeCell="H27" sqref="H27"/>
    </sheetView>
  </sheetViews>
  <sheetFormatPr defaultColWidth="8.875" defaultRowHeight="12.75"/>
  <cols>
    <col min="1" max="1" width="5.00390625" style="46" customWidth="1"/>
    <col min="2" max="2" width="22.25390625" style="46" customWidth="1"/>
    <col min="3" max="3" width="6.125" style="46" customWidth="1"/>
    <col min="4" max="4" width="12.375" style="46" customWidth="1"/>
    <col min="5" max="5" width="11.625" style="46" customWidth="1"/>
    <col min="6" max="6" width="13.125" style="46" bestFit="1" customWidth="1"/>
    <col min="7" max="7" width="8.375" style="46" bestFit="1" customWidth="1"/>
    <col min="8" max="8" width="24.75390625" style="46" customWidth="1"/>
    <col min="9" max="16384" width="8.875" style="46" customWidth="1"/>
  </cols>
  <sheetData>
    <row r="1" spans="2:8" ht="12.75">
      <c r="B1" s="45"/>
      <c r="C1" s="45"/>
      <c r="D1" s="45"/>
      <c r="E1" s="45"/>
      <c r="F1" s="45"/>
      <c r="G1" s="179"/>
      <c r="H1" s="347"/>
    </row>
    <row r="2" spans="1:8" ht="15.75" customHeight="1">
      <c r="A2" s="184"/>
      <c r="B2" s="1125" t="s">
        <v>19</v>
      </c>
      <c r="C2" s="1125"/>
      <c r="D2" s="1125"/>
      <c r="E2" s="1125"/>
      <c r="F2" s="1125"/>
      <c r="G2" s="1125"/>
      <c r="H2" s="347"/>
    </row>
    <row r="3" spans="1:8" ht="8.25" customHeight="1">
      <c r="A3" s="184"/>
      <c r="B3" s="185"/>
      <c r="C3" s="186"/>
      <c r="D3" s="186"/>
      <c r="E3" s="186"/>
      <c r="F3" s="186"/>
      <c r="G3" s="187"/>
      <c r="H3" s="347"/>
    </row>
    <row r="4" spans="2:8" ht="5.25" customHeight="1">
      <c r="B4" s="45"/>
      <c r="C4" s="45"/>
      <c r="D4" s="45"/>
      <c r="E4" s="45"/>
      <c r="F4" s="45"/>
      <c r="G4" s="45"/>
      <c r="H4" s="347"/>
    </row>
    <row r="5" spans="1:35" s="200" customFormat="1" ht="27.75" customHeight="1">
      <c r="A5" s="197" t="s">
        <v>611</v>
      </c>
      <c r="B5" s="198" t="s">
        <v>477</v>
      </c>
      <c r="C5" s="199" t="s">
        <v>614</v>
      </c>
      <c r="D5" s="199" t="s">
        <v>615</v>
      </c>
      <c r="E5" s="199" t="s">
        <v>616</v>
      </c>
      <c r="F5" s="199" t="s">
        <v>617</v>
      </c>
      <c r="G5" s="355" t="s">
        <v>618</v>
      </c>
      <c r="H5" s="347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</row>
    <row r="6" spans="1:35" ht="18" customHeight="1">
      <c r="A6" s="1126" t="s">
        <v>593</v>
      </c>
      <c r="B6" s="1127"/>
      <c r="C6" s="1127"/>
      <c r="D6" s="1127"/>
      <c r="E6" s="1127"/>
      <c r="F6" s="1127"/>
      <c r="G6" s="1128"/>
      <c r="H6" s="34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</row>
    <row r="7" spans="1:35" s="83" customFormat="1" ht="18" customHeight="1">
      <c r="A7" s="188">
        <v>1</v>
      </c>
      <c r="B7" s="583" t="s">
        <v>594</v>
      </c>
      <c r="C7" s="82">
        <v>1</v>
      </c>
      <c r="D7" s="586">
        <v>800</v>
      </c>
      <c r="E7" s="587">
        <f>C7*D7</f>
        <v>800</v>
      </c>
      <c r="F7" s="188" t="s">
        <v>479</v>
      </c>
      <c r="G7" s="188" t="s">
        <v>480</v>
      </c>
      <c r="H7" s="347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</row>
    <row r="8" spans="1:35" s="83" customFormat="1" ht="18" customHeight="1">
      <c r="A8" s="188">
        <v>2</v>
      </c>
      <c r="B8" s="583" t="s">
        <v>982</v>
      </c>
      <c r="C8" s="82">
        <v>1</v>
      </c>
      <c r="D8" s="586">
        <v>750</v>
      </c>
      <c r="E8" s="587">
        <f>C8*D8</f>
        <v>750</v>
      </c>
      <c r="F8" s="188" t="s">
        <v>479</v>
      </c>
      <c r="G8" s="188" t="s">
        <v>480</v>
      </c>
      <c r="H8" s="347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</row>
    <row r="9" spans="1:35" s="83" customFormat="1" ht="18" customHeight="1">
      <c r="A9" s="188">
        <v>3</v>
      </c>
      <c r="B9" s="583" t="s">
        <v>595</v>
      </c>
      <c r="C9" s="82">
        <v>1</v>
      </c>
      <c r="D9" s="586">
        <v>700</v>
      </c>
      <c r="E9" s="587">
        <f>C9*D9</f>
        <v>700</v>
      </c>
      <c r="F9" s="188" t="s">
        <v>479</v>
      </c>
      <c r="G9" s="188" t="s">
        <v>480</v>
      </c>
      <c r="H9" s="347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</row>
    <row r="10" spans="1:8" s="83" customFormat="1" ht="18" customHeight="1">
      <c r="A10" s="1126" t="s">
        <v>596</v>
      </c>
      <c r="B10" s="1127"/>
      <c r="C10" s="1127"/>
      <c r="D10" s="1127"/>
      <c r="E10" s="1127"/>
      <c r="F10" s="1127"/>
      <c r="G10" s="1128"/>
      <c r="H10" s="347"/>
    </row>
    <row r="11" spans="1:8" s="135" customFormat="1" ht="25.5">
      <c r="A11" s="136">
        <v>1</v>
      </c>
      <c r="B11" s="134" t="s">
        <v>58</v>
      </c>
      <c r="C11" s="588">
        <v>5</v>
      </c>
      <c r="D11" s="587">
        <v>650</v>
      </c>
      <c r="E11" s="585">
        <f aca="true" t="shared" si="0" ref="E11:E18">C11*D11</f>
        <v>3250</v>
      </c>
      <c r="F11" s="136" t="s">
        <v>479</v>
      </c>
      <c r="G11" s="136" t="s">
        <v>480</v>
      </c>
      <c r="H11" s="348"/>
    </row>
    <row r="12" spans="1:8" s="135" customFormat="1" ht="18" customHeight="1">
      <c r="A12" s="136">
        <f>A11+1</f>
        <v>2</v>
      </c>
      <c r="B12" s="134" t="s">
        <v>962</v>
      </c>
      <c r="C12" s="588">
        <v>1</v>
      </c>
      <c r="D12" s="587">
        <v>800</v>
      </c>
      <c r="E12" s="585">
        <f t="shared" si="0"/>
        <v>800</v>
      </c>
      <c r="F12" s="136" t="s">
        <v>479</v>
      </c>
      <c r="G12" s="136" t="s">
        <v>480</v>
      </c>
      <c r="H12" s="348"/>
    </row>
    <row r="13" spans="1:8" s="135" customFormat="1" ht="18" customHeight="1">
      <c r="A13" s="136">
        <f>A12+1</f>
        <v>3</v>
      </c>
      <c r="B13" s="134" t="s">
        <v>963</v>
      </c>
      <c r="C13" s="588">
        <v>2</v>
      </c>
      <c r="D13" s="587">
        <v>625</v>
      </c>
      <c r="E13" s="585">
        <f t="shared" si="0"/>
        <v>1250</v>
      </c>
      <c r="F13" s="136" t="s">
        <v>479</v>
      </c>
      <c r="G13" s="136" t="s">
        <v>480</v>
      </c>
      <c r="H13" s="348"/>
    </row>
    <row r="14" spans="1:8" s="135" customFormat="1" ht="18" customHeight="1">
      <c r="A14" s="136">
        <v>4</v>
      </c>
      <c r="B14" s="134" t="s">
        <v>979</v>
      </c>
      <c r="C14" s="588">
        <v>2</v>
      </c>
      <c r="D14" s="587">
        <v>500</v>
      </c>
      <c r="E14" s="585">
        <f t="shared" si="0"/>
        <v>1000</v>
      </c>
      <c r="F14" s="136" t="s">
        <v>479</v>
      </c>
      <c r="G14" s="136" t="s">
        <v>480</v>
      </c>
      <c r="H14" s="348"/>
    </row>
    <row r="15" spans="1:8" s="135" customFormat="1" ht="32.25" customHeight="1">
      <c r="A15" s="136">
        <v>5</v>
      </c>
      <c r="B15" s="134" t="s">
        <v>983</v>
      </c>
      <c r="C15" s="588">
        <v>4</v>
      </c>
      <c r="D15" s="587">
        <v>500</v>
      </c>
      <c r="E15" s="585">
        <f t="shared" si="0"/>
        <v>2000</v>
      </c>
      <c r="F15" s="136" t="s">
        <v>479</v>
      </c>
      <c r="G15" s="136" t="s">
        <v>480</v>
      </c>
      <c r="H15" s="348"/>
    </row>
    <row r="16" spans="1:8" s="135" customFormat="1" ht="18" customHeight="1">
      <c r="A16" s="136">
        <v>6</v>
      </c>
      <c r="B16" s="134" t="s">
        <v>964</v>
      </c>
      <c r="C16" s="588">
        <v>1</v>
      </c>
      <c r="D16" s="587">
        <v>750</v>
      </c>
      <c r="E16" s="585">
        <f t="shared" si="0"/>
        <v>750</v>
      </c>
      <c r="F16" s="136" t="s">
        <v>479</v>
      </c>
      <c r="G16" s="136" t="s">
        <v>480</v>
      </c>
      <c r="H16" s="348"/>
    </row>
    <row r="17" spans="1:8" s="135" customFormat="1" ht="18" customHeight="1">
      <c r="A17" s="136">
        <v>7</v>
      </c>
      <c r="B17" s="134" t="s">
        <v>18</v>
      </c>
      <c r="C17" s="588">
        <v>1</v>
      </c>
      <c r="D17" s="587">
        <v>400</v>
      </c>
      <c r="E17" s="585">
        <f t="shared" si="0"/>
        <v>400</v>
      </c>
      <c r="F17" s="136" t="s">
        <v>479</v>
      </c>
      <c r="G17" s="136" t="s">
        <v>480</v>
      </c>
      <c r="H17" s="348"/>
    </row>
    <row r="18" spans="1:8" s="135" customFormat="1" ht="18" customHeight="1">
      <c r="A18" s="136">
        <v>8</v>
      </c>
      <c r="B18" s="134" t="s">
        <v>965</v>
      </c>
      <c r="C18" s="588">
        <v>1</v>
      </c>
      <c r="D18" s="587">
        <v>400</v>
      </c>
      <c r="E18" s="585">
        <f t="shared" si="0"/>
        <v>400</v>
      </c>
      <c r="F18" s="136" t="s">
        <v>479</v>
      </c>
      <c r="G18" s="136" t="s">
        <v>480</v>
      </c>
      <c r="H18" s="348"/>
    </row>
    <row r="19" spans="1:8" s="135" customFormat="1" ht="18" customHeight="1">
      <c r="A19" s="137"/>
      <c r="B19" s="138" t="s">
        <v>598</v>
      </c>
      <c r="C19" s="589">
        <f>SUM(C7:C18)</f>
        <v>20</v>
      </c>
      <c r="D19" s="139"/>
      <c r="E19" s="590">
        <f>SUM(E7:E18)</f>
        <v>12100</v>
      </c>
      <c r="F19" s="137" t="s">
        <v>516</v>
      </c>
      <c r="G19" s="137"/>
      <c r="H19" s="348"/>
    </row>
    <row r="20" spans="1:8" ht="16.5" customHeight="1">
      <c r="A20" s="189"/>
      <c r="B20" s="190"/>
      <c r="C20" s="190"/>
      <c r="D20" s="190"/>
      <c r="E20" s="190"/>
      <c r="F20" s="190"/>
      <c r="G20" s="190"/>
      <c r="H20" s="347"/>
    </row>
    <row r="21" spans="1:8" ht="18.75" customHeight="1">
      <c r="A21" s="384" t="s">
        <v>481</v>
      </c>
      <c r="B21" s="385"/>
      <c r="C21" s="385"/>
      <c r="D21" s="386"/>
      <c r="E21" s="387"/>
      <c r="F21" s="388">
        <f>C19</f>
        <v>20</v>
      </c>
      <c r="G21" s="45"/>
      <c r="H21" s="347"/>
    </row>
    <row r="22" spans="1:8" ht="18.75" customHeight="1">
      <c r="A22" s="384" t="s">
        <v>391</v>
      </c>
      <c r="B22" s="389"/>
      <c r="C22" s="389"/>
      <c r="D22" s="385"/>
      <c r="E22" s="390"/>
      <c r="F22" s="388">
        <f>E19</f>
        <v>12100</v>
      </c>
      <c r="G22" s="45"/>
      <c r="H22" s="347"/>
    </row>
    <row r="23" spans="1:8" ht="18.75" customHeight="1">
      <c r="A23" s="391" t="s">
        <v>597</v>
      </c>
      <c r="B23" s="389"/>
      <c r="C23" s="389"/>
      <c r="D23" s="389"/>
      <c r="E23" s="392">
        <v>0.38</v>
      </c>
      <c r="F23" s="388">
        <f>F22*E23</f>
        <v>4598</v>
      </c>
      <c r="G23" s="45"/>
      <c r="H23" s="347"/>
    </row>
    <row r="24" spans="1:8" ht="18.75" customHeight="1">
      <c r="A24" s="384" t="s">
        <v>392</v>
      </c>
      <c r="B24" s="393"/>
      <c r="C24" s="393"/>
      <c r="D24" s="393"/>
      <c r="E24" s="394"/>
      <c r="F24" s="388">
        <v>2000</v>
      </c>
      <c r="G24" s="45"/>
      <c r="H24" s="347"/>
    </row>
    <row r="25" spans="1:8" ht="18.75" customHeight="1" thickBot="1">
      <c r="A25" s="395" t="s">
        <v>390</v>
      </c>
      <c r="B25" s="396"/>
      <c r="C25" s="396"/>
      <c r="D25" s="396"/>
      <c r="E25" s="397"/>
      <c r="F25" s="398">
        <f>F22/F21</f>
        <v>605</v>
      </c>
      <c r="G25" s="45"/>
      <c r="H25" s="347"/>
    </row>
    <row r="26" spans="1:8" ht="18.75" customHeight="1">
      <c r="A26" s="584" t="s">
        <v>599</v>
      </c>
      <c r="B26" s="140"/>
      <c r="C26" s="140"/>
      <c r="D26" s="140"/>
      <c r="E26" s="141"/>
      <c r="F26" s="142">
        <f>F22+F23+F24</f>
        <v>18698</v>
      </c>
      <c r="G26" s="45"/>
      <c r="H26" s="347"/>
    </row>
    <row r="27" spans="1:8" ht="18.75" customHeight="1" thickBot="1">
      <c r="A27" s="143" t="s">
        <v>600</v>
      </c>
      <c r="B27" s="144"/>
      <c r="C27" s="144"/>
      <c r="D27" s="144"/>
      <c r="E27" s="145"/>
      <c r="F27" s="146">
        <f>F26*12</f>
        <v>224376</v>
      </c>
      <c r="G27" s="45"/>
      <c r="H27" s="347"/>
    </row>
    <row r="28" spans="1:8" ht="60" customHeight="1">
      <c r="A28" s="347"/>
      <c r="B28" s="347"/>
      <c r="C28" s="347"/>
      <c r="D28" s="347"/>
      <c r="E28" s="347"/>
      <c r="F28" s="347"/>
      <c r="G28" s="347" t="s">
        <v>455</v>
      </c>
      <c r="H28" s="347"/>
    </row>
  </sheetData>
  <sheetProtection/>
  <mergeCells count="3">
    <mergeCell ref="B2:G2"/>
    <mergeCell ref="A6:G6"/>
    <mergeCell ref="A10:G10"/>
  </mergeCells>
  <printOptions horizontalCentered="1"/>
  <pageMargins left="0.7874015748031497" right="0.19" top="0.77" bottom="0.27" header="0.5118110236220472" footer="0.17"/>
  <pageSetup horizontalDpi="300" verticalDpi="300" orientation="portrait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6.25390625" style="538" customWidth="1"/>
    <col min="2" max="2" width="46.25390625" style="0" customWidth="1"/>
    <col min="3" max="4" width="16.25390625" style="0" customWidth="1"/>
    <col min="5" max="5" width="24.75390625" style="0" customWidth="1"/>
  </cols>
  <sheetData>
    <row r="1" spans="1:5" ht="18">
      <c r="A1" s="1134" t="s">
        <v>1001</v>
      </c>
      <c r="B1" s="1134"/>
      <c r="C1" s="1134"/>
      <c r="D1" s="1134"/>
      <c r="E1" s="347"/>
    </row>
    <row r="2" ht="18" customHeight="1">
      <c r="E2" s="347"/>
    </row>
    <row r="3" spans="1:5" s="83" customFormat="1" ht="21.75" customHeight="1">
      <c r="A3" s="1018" t="s">
        <v>860</v>
      </c>
      <c r="B3" s="171" t="s">
        <v>861</v>
      </c>
      <c r="C3" s="172" t="s">
        <v>482</v>
      </c>
      <c r="D3" s="173" t="s">
        <v>613</v>
      </c>
      <c r="E3" s="347"/>
    </row>
    <row r="4" spans="1:5" s="83" customFormat="1" ht="18" customHeight="1">
      <c r="A4" s="1135">
        <v>1</v>
      </c>
      <c r="B4" s="1136" t="s">
        <v>862</v>
      </c>
      <c r="C4" s="559">
        <v>1000000</v>
      </c>
      <c r="D4" s="1137">
        <v>75000</v>
      </c>
      <c r="E4" s="347"/>
    </row>
    <row r="5" spans="1:5" s="83" customFormat="1" ht="18" customHeight="1">
      <c r="A5" s="1135"/>
      <c r="B5" s="1136"/>
      <c r="C5" s="557" t="s">
        <v>980</v>
      </c>
      <c r="D5" s="1137"/>
      <c r="E5" s="347"/>
    </row>
    <row r="6" spans="1:5" s="83" customFormat="1" ht="18" customHeight="1">
      <c r="A6" s="557">
        <v>2</v>
      </c>
      <c r="B6" s="558" t="s">
        <v>863</v>
      </c>
      <c r="C6" s="557" t="s">
        <v>864</v>
      </c>
      <c r="D6" s="560">
        <v>3000</v>
      </c>
      <c r="E6" s="347"/>
    </row>
    <row r="7" spans="1:5" s="83" customFormat="1" ht="18" customHeight="1">
      <c r="A7" s="557">
        <v>3</v>
      </c>
      <c r="B7" s="558" t="s">
        <v>984</v>
      </c>
      <c r="C7" s="557" t="s">
        <v>865</v>
      </c>
      <c r="D7" s="560">
        <v>9000</v>
      </c>
      <c r="E7" s="347"/>
    </row>
    <row r="8" spans="1:5" s="83" customFormat="1" ht="18" customHeight="1">
      <c r="A8" s="557">
        <v>4</v>
      </c>
      <c r="B8" s="558" t="s">
        <v>866</v>
      </c>
      <c r="C8" s="557" t="s">
        <v>867</v>
      </c>
      <c r="D8" s="560">
        <v>4000</v>
      </c>
      <c r="E8" s="347"/>
    </row>
    <row r="9" spans="1:5" s="83" customFormat="1" ht="18" customHeight="1">
      <c r="A9" s="557">
        <v>5</v>
      </c>
      <c r="B9" s="558" t="s">
        <v>981</v>
      </c>
      <c r="C9" s="557" t="s">
        <v>868</v>
      </c>
      <c r="D9" s="560">
        <v>15000</v>
      </c>
      <c r="E9" s="347"/>
    </row>
    <row r="10" spans="1:5" s="83" customFormat="1" ht="18" customHeight="1">
      <c r="A10" s="557">
        <v>6</v>
      </c>
      <c r="B10" s="558" t="s">
        <v>869</v>
      </c>
      <c r="C10" s="557" t="s">
        <v>870</v>
      </c>
      <c r="D10" s="560">
        <v>10000</v>
      </c>
      <c r="E10" s="347"/>
    </row>
    <row r="11" spans="1:5" s="83" customFormat="1" ht="18" customHeight="1">
      <c r="A11" s="557">
        <v>7</v>
      </c>
      <c r="B11" s="558" t="s">
        <v>985</v>
      </c>
      <c r="C11" s="557" t="s">
        <v>867</v>
      </c>
      <c r="D11" s="560">
        <v>2000</v>
      </c>
      <c r="E11" s="347"/>
    </row>
    <row r="12" spans="1:5" s="83" customFormat="1" ht="18" customHeight="1">
      <c r="A12" s="557">
        <v>8</v>
      </c>
      <c r="B12" s="558" t="s">
        <v>986</v>
      </c>
      <c r="C12" s="557" t="s">
        <v>871</v>
      </c>
      <c r="D12" s="560">
        <v>2000</v>
      </c>
      <c r="E12" s="347"/>
    </row>
    <row r="13" spans="1:5" s="83" customFormat="1" ht="18" customHeight="1">
      <c r="A13" s="557">
        <v>9</v>
      </c>
      <c r="B13" s="558" t="s">
        <v>872</v>
      </c>
      <c r="C13" s="557" t="s">
        <v>873</v>
      </c>
      <c r="D13" s="560">
        <v>2000</v>
      </c>
      <c r="E13" s="347"/>
    </row>
    <row r="14" spans="1:5" s="83" customFormat="1" ht="18" customHeight="1">
      <c r="A14" s="557">
        <v>10</v>
      </c>
      <c r="B14" s="558" t="s">
        <v>874</v>
      </c>
      <c r="C14" s="557" t="s">
        <v>875</v>
      </c>
      <c r="D14" s="560">
        <v>1000</v>
      </c>
      <c r="E14" s="347"/>
    </row>
    <row r="15" spans="1:5" s="83" customFormat="1" ht="18" customHeight="1">
      <c r="A15" s="557">
        <v>11</v>
      </c>
      <c r="B15" s="558" t="s">
        <v>876</v>
      </c>
      <c r="C15" s="557" t="s">
        <v>865</v>
      </c>
      <c r="D15" s="560">
        <v>2000</v>
      </c>
      <c r="E15" s="347"/>
    </row>
    <row r="16" spans="1:5" s="83" customFormat="1" ht="18" customHeight="1">
      <c r="A16" s="557">
        <v>12</v>
      </c>
      <c r="B16" s="558" t="s">
        <v>877</v>
      </c>
      <c r="C16" s="557" t="s">
        <v>878</v>
      </c>
      <c r="D16" s="560">
        <v>24</v>
      </c>
      <c r="E16" s="347"/>
    </row>
    <row r="17" spans="1:5" s="83" customFormat="1" ht="18" customHeight="1">
      <c r="A17" s="557">
        <v>13</v>
      </c>
      <c r="B17" s="558" t="s">
        <v>879</v>
      </c>
      <c r="C17" s="557" t="s">
        <v>880</v>
      </c>
      <c r="D17" s="560">
        <v>200</v>
      </c>
      <c r="E17" s="347"/>
    </row>
    <row r="18" spans="1:5" s="83" customFormat="1" ht="18" customHeight="1">
      <c r="A18" s="557">
        <v>14</v>
      </c>
      <c r="B18" s="558" t="s">
        <v>881</v>
      </c>
      <c r="C18" s="557" t="s">
        <v>882</v>
      </c>
      <c r="D18" s="560">
        <v>1000</v>
      </c>
      <c r="E18" s="347"/>
    </row>
    <row r="19" spans="1:5" s="83" customFormat="1" ht="18" customHeight="1">
      <c r="A19" s="557">
        <v>15</v>
      </c>
      <c r="B19" s="558" t="s">
        <v>883</v>
      </c>
      <c r="C19" s="557" t="s">
        <v>884</v>
      </c>
      <c r="D19" s="560">
        <v>50</v>
      </c>
      <c r="E19" s="347"/>
    </row>
    <row r="20" spans="1:5" s="83" customFormat="1" ht="18" customHeight="1">
      <c r="A20" s="557">
        <v>16</v>
      </c>
      <c r="B20" s="558" t="s">
        <v>885</v>
      </c>
      <c r="C20" s="557" t="s">
        <v>886</v>
      </c>
      <c r="D20" s="560">
        <v>60</v>
      </c>
      <c r="E20" s="347"/>
    </row>
    <row r="21" spans="1:5" s="83" customFormat="1" ht="18" customHeight="1">
      <c r="A21" s="557">
        <v>17</v>
      </c>
      <c r="B21" s="558" t="s">
        <v>887</v>
      </c>
      <c r="C21" s="557" t="s">
        <v>888</v>
      </c>
      <c r="D21" s="560">
        <v>1000</v>
      </c>
      <c r="E21" s="347"/>
    </row>
    <row r="22" spans="1:5" s="83" customFormat="1" ht="18" customHeight="1">
      <c r="A22" s="557">
        <v>18</v>
      </c>
      <c r="B22" s="558" t="s">
        <v>889</v>
      </c>
      <c r="C22" s="557" t="s">
        <v>901</v>
      </c>
      <c r="D22" s="560">
        <v>280</v>
      </c>
      <c r="E22" s="347"/>
    </row>
    <row r="23" spans="1:5" s="83" customFormat="1" ht="18" customHeight="1">
      <c r="A23" s="557">
        <v>19</v>
      </c>
      <c r="B23" s="558" t="s">
        <v>902</v>
      </c>
      <c r="C23" s="557" t="s">
        <v>888</v>
      </c>
      <c r="D23" s="560">
        <v>450</v>
      </c>
      <c r="E23" s="347"/>
    </row>
    <row r="24" spans="1:5" s="83" customFormat="1" ht="18" customHeight="1">
      <c r="A24" s="557">
        <v>20</v>
      </c>
      <c r="B24" s="558" t="s">
        <v>903</v>
      </c>
      <c r="C24" s="557" t="s">
        <v>987</v>
      </c>
      <c r="D24" s="560">
        <v>300</v>
      </c>
      <c r="E24" s="347"/>
    </row>
    <row r="25" spans="1:5" s="83" customFormat="1" ht="18" customHeight="1">
      <c r="A25" s="557">
        <v>21</v>
      </c>
      <c r="B25" s="558" t="s">
        <v>904</v>
      </c>
      <c r="C25" s="557" t="s">
        <v>905</v>
      </c>
      <c r="D25" s="560">
        <v>200</v>
      </c>
      <c r="E25" s="347"/>
    </row>
    <row r="26" spans="1:5" s="83" customFormat="1" ht="18" customHeight="1">
      <c r="A26" s="557">
        <v>22</v>
      </c>
      <c r="B26" s="558" t="s">
        <v>906</v>
      </c>
      <c r="C26" s="557" t="s">
        <v>957</v>
      </c>
      <c r="D26" s="560">
        <v>200</v>
      </c>
      <c r="E26" s="347"/>
    </row>
    <row r="27" spans="1:5" s="83" customFormat="1" ht="18" customHeight="1" thickBot="1">
      <c r="A27" s="561">
        <v>23</v>
      </c>
      <c r="B27" s="562" t="s">
        <v>1000</v>
      </c>
      <c r="C27" s="561" t="s">
        <v>958</v>
      </c>
      <c r="D27" s="563">
        <v>250</v>
      </c>
      <c r="E27" s="347"/>
    </row>
    <row r="28" spans="1:5" s="83" customFormat="1" ht="21" customHeight="1">
      <c r="A28" s="1131" t="s">
        <v>82</v>
      </c>
      <c r="B28" s="1132"/>
      <c r="C28" s="1133"/>
      <c r="D28" s="564">
        <f>SUM(D4:D27)</f>
        <v>129014</v>
      </c>
      <c r="E28" s="347"/>
    </row>
    <row r="29" ht="1.5" customHeight="1">
      <c r="E29" s="347"/>
    </row>
    <row r="30" spans="1:5" ht="15.75">
      <c r="A30" s="1129" t="s">
        <v>81</v>
      </c>
      <c r="B30" s="1129"/>
      <c r="C30" s="1129"/>
      <c r="D30" s="1044">
        <f>ТЕО!C40</f>
        <v>28440</v>
      </c>
      <c r="E30" s="347"/>
    </row>
    <row r="31" spans="4:5" ht="1.5" customHeight="1">
      <c r="D31" s="1045"/>
      <c r="E31" s="347"/>
    </row>
    <row r="32" ht="12.75" hidden="1">
      <c r="E32" s="347"/>
    </row>
    <row r="33" spans="1:5" ht="15.75">
      <c r="A33" s="1130" t="s">
        <v>83</v>
      </c>
      <c r="B33" s="1130"/>
      <c r="C33" s="1130"/>
      <c r="D33" s="1046">
        <f>D28+D30</f>
        <v>157454</v>
      </c>
      <c r="E33" s="347"/>
    </row>
    <row r="34" spans="1:5" ht="210" customHeight="1">
      <c r="A34" s="347"/>
      <c r="B34" s="347"/>
      <c r="C34" s="347"/>
      <c r="D34" s="347"/>
      <c r="E34" s="347"/>
    </row>
  </sheetData>
  <sheetProtection/>
  <mergeCells count="7">
    <mergeCell ref="A30:C30"/>
    <mergeCell ref="A33:C33"/>
    <mergeCell ref="A28:C28"/>
    <mergeCell ref="A1:D1"/>
    <mergeCell ref="A4:A5"/>
    <mergeCell ref="B4:B5"/>
    <mergeCell ref="D4:D5"/>
  </mergeCells>
  <printOptions/>
  <pageMargins left="0.75" right="0.25" top="0.92" bottom="0.5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="75" zoomScaleNormal="75" zoomScalePageLayoutView="0" workbookViewId="0" topLeftCell="A49">
      <selection activeCell="E16" sqref="E16"/>
    </sheetView>
  </sheetViews>
  <sheetFormatPr defaultColWidth="8.875" defaultRowHeight="12.75"/>
  <cols>
    <col min="1" max="1" width="4.75390625" style="47" customWidth="1"/>
    <col min="2" max="2" width="70.75390625" style="47" customWidth="1"/>
    <col min="3" max="3" width="17.00390625" style="47" customWidth="1"/>
    <col min="4" max="4" width="11.375" style="47" customWidth="1"/>
    <col min="5" max="5" width="9.75390625" style="423" customWidth="1"/>
    <col min="6" max="6" width="32.625" style="423" bestFit="1" customWidth="1"/>
    <col min="7" max="7" width="4.75390625" style="47" customWidth="1"/>
    <col min="8" max="8" width="72.625" style="47" customWidth="1"/>
    <col min="9" max="9" width="14.00390625" style="47" customWidth="1"/>
    <col min="10" max="10" width="6.25390625" style="47" customWidth="1"/>
    <col min="11" max="16384" width="8.875" style="47" customWidth="1"/>
  </cols>
  <sheetData>
    <row r="1" spans="2:9" ht="16.5">
      <c r="B1" s="34"/>
      <c r="C1" s="34"/>
      <c r="E1" s="422"/>
      <c r="F1" s="422"/>
      <c r="H1" s="34"/>
      <c r="I1" s="34"/>
    </row>
    <row r="2" spans="2:10" ht="18">
      <c r="B2" s="1147" t="s">
        <v>14</v>
      </c>
      <c r="C2" s="1147"/>
      <c r="D2" s="1147"/>
      <c r="E2" s="422"/>
      <c r="F2" s="422"/>
      <c r="H2" s="1147"/>
      <c r="I2" s="1147"/>
      <c r="J2" s="1147"/>
    </row>
    <row r="3" spans="2:10" ht="18">
      <c r="B3" s="1147" t="s">
        <v>15</v>
      </c>
      <c r="C3" s="1147"/>
      <c r="D3" s="1147"/>
      <c r="E3" s="422"/>
      <c r="F3" s="422"/>
      <c r="H3" s="1147"/>
      <c r="I3" s="1147"/>
      <c r="J3" s="1147"/>
    </row>
    <row r="4" spans="2:10" ht="16.5">
      <c r="B4" s="167"/>
      <c r="C4" s="168"/>
      <c r="D4" s="166" t="s">
        <v>16</v>
      </c>
      <c r="E4" s="422"/>
      <c r="F4" s="422"/>
      <c r="H4" s="167"/>
      <c r="I4" s="168"/>
      <c r="J4" s="166"/>
    </row>
    <row r="5" spans="2:10" ht="3" customHeight="1">
      <c r="B5" s="34"/>
      <c r="C5" s="34"/>
      <c r="D5" s="169"/>
      <c r="E5" s="422"/>
      <c r="F5" s="422"/>
      <c r="H5" s="1147"/>
      <c r="I5" s="1147"/>
      <c r="J5" s="1147"/>
    </row>
    <row r="6" spans="1:10" ht="32.25" customHeight="1">
      <c r="A6" s="170" t="s">
        <v>611</v>
      </c>
      <c r="B6" s="171" t="s">
        <v>414</v>
      </c>
      <c r="C6" s="172" t="s">
        <v>609</v>
      </c>
      <c r="D6" s="173" t="s">
        <v>610</v>
      </c>
      <c r="E6" s="422"/>
      <c r="F6" s="422"/>
      <c r="H6" s="167"/>
      <c r="I6" s="168"/>
      <c r="J6" s="166"/>
    </row>
    <row r="7" spans="1:10" s="593" customFormat="1" ht="18">
      <c r="A7" s="591">
        <v>1</v>
      </c>
      <c r="B7" s="600" t="s">
        <v>415</v>
      </c>
      <c r="C7" s="607">
        <v>5</v>
      </c>
      <c r="D7" s="602" t="s">
        <v>406</v>
      </c>
      <c r="E7" s="592"/>
      <c r="F7" s="592"/>
      <c r="G7" s="47"/>
      <c r="H7" s="1147"/>
      <c r="I7" s="1147"/>
      <c r="J7" s="1147"/>
    </row>
    <row r="8" spans="1:10" s="593" customFormat="1" ht="16.5">
      <c r="A8" s="594">
        <f aca="true" t="shared" si="0" ref="A8:A29">A7+1</f>
        <v>2</v>
      </c>
      <c r="B8" s="601" t="s">
        <v>416</v>
      </c>
      <c r="C8" s="607">
        <v>2</v>
      </c>
      <c r="D8" s="603" t="s">
        <v>68</v>
      </c>
      <c r="E8" s="592"/>
      <c r="F8" s="592"/>
      <c r="G8" s="47"/>
      <c r="H8" s="167"/>
      <c r="I8" s="168"/>
      <c r="J8" s="166"/>
    </row>
    <row r="9" spans="1:6" s="593" customFormat="1" ht="16.5">
      <c r="A9" s="594">
        <f t="shared" si="0"/>
        <v>3</v>
      </c>
      <c r="B9" s="601" t="s">
        <v>417</v>
      </c>
      <c r="C9" s="608">
        <v>22</v>
      </c>
      <c r="D9" s="603" t="s">
        <v>406</v>
      </c>
      <c r="E9" s="592"/>
      <c r="F9" s="592"/>
    </row>
    <row r="10" spans="1:6" s="593" customFormat="1" ht="16.5">
      <c r="A10" s="594">
        <f t="shared" si="0"/>
        <v>4</v>
      </c>
      <c r="B10" s="601" t="s">
        <v>418</v>
      </c>
      <c r="C10" s="607">
        <v>264</v>
      </c>
      <c r="D10" s="603" t="s">
        <v>406</v>
      </c>
      <c r="E10" s="592"/>
      <c r="F10" s="592"/>
    </row>
    <row r="11" spans="1:6" s="593" customFormat="1" ht="16.5">
      <c r="A11" s="594">
        <f t="shared" si="0"/>
        <v>5</v>
      </c>
      <c r="B11" s="601" t="s">
        <v>419</v>
      </c>
      <c r="C11" s="607">
        <v>1</v>
      </c>
      <c r="D11" s="603" t="s">
        <v>20</v>
      </c>
      <c r="E11" s="592"/>
      <c r="F11" s="592"/>
    </row>
    <row r="12" spans="1:6" s="593" customFormat="1" ht="16.5">
      <c r="A12" s="594">
        <f t="shared" si="0"/>
        <v>6</v>
      </c>
      <c r="B12" s="601" t="s">
        <v>420</v>
      </c>
      <c r="C12" s="607">
        <v>8</v>
      </c>
      <c r="D12" s="603" t="s">
        <v>407</v>
      </c>
      <c r="E12" s="592"/>
      <c r="F12" s="592"/>
    </row>
    <row r="13" spans="1:6" s="593" customFormat="1" ht="16.5">
      <c r="A13" s="594">
        <f t="shared" si="0"/>
        <v>7</v>
      </c>
      <c r="B13" s="601" t="s">
        <v>972</v>
      </c>
      <c r="C13" s="607">
        <v>7</v>
      </c>
      <c r="D13" s="603" t="s">
        <v>407</v>
      </c>
      <c r="E13" s="592"/>
      <c r="F13" s="592"/>
    </row>
    <row r="14" spans="1:10" s="593" customFormat="1" ht="16.5">
      <c r="A14" s="594">
        <f t="shared" si="0"/>
        <v>8</v>
      </c>
      <c r="B14" s="601" t="s">
        <v>973</v>
      </c>
      <c r="C14" s="607">
        <v>3</v>
      </c>
      <c r="D14" s="603" t="s">
        <v>69</v>
      </c>
      <c r="E14" s="1144" t="s">
        <v>694</v>
      </c>
      <c r="F14" s="1145"/>
      <c r="G14" s="1146" t="s">
        <v>693</v>
      </c>
      <c r="H14" s="1146"/>
      <c r="I14" s="1146"/>
      <c r="J14" s="1146"/>
    </row>
    <row r="15" spans="1:10" s="593" customFormat="1" ht="22.5" customHeight="1">
      <c r="A15" s="594">
        <f t="shared" si="0"/>
        <v>9</v>
      </c>
      <c r="B15" s="601" t="s">
        <v>974</v>
      </c>
      <c r="C15" s="609">
        <v>320.2</v>
      </c>
      <c r="D15" s="602" t="s">
        <v>521</v>
      </c>
      <c r="E15" s="1144" t="s">
        <v>695</v>
      </c>
      <c r="F15" s="1145"/>
      <c r="G15" s="1138" t="s">
        <v>611</v>
      </c>
      <c r="H15" s="1140" t="s">
        <v>414</v>
      </c>
      <c r="I15" s="1140" t="s">
        <v>609</v>
      </c>
      <c r="J15" s="1142" t="s">
        <v>65</v>
      </c>
    </row>
    <row r="16" spans="1:10" s="593" customFormat="1" ht="18" customHeight="1" thickBot="1">
      <c r="A16" s="594">
        <f t="shared" si="0"/>
        <v>10</v>
      </c>
      <c r="B16" s="601" t="s">
        <v>975</v>
      </c>
      <c r="C16" s="609">
        <v>242</v>
      </c>
      <c r="D16" s="602" t="s">
        <v>521</v>
      </c>
      <c r="E16" s="1097">
        <v>0</v>
      </c>
      <c r="F16" s="1080" t="s">
        <v>682</v>
      </c>
      <c r="G16" s="1139"/>
      <c r="H16" s="1141"/>
      <c r="I16" s="1141"/>
      <c r="J16" s="1143"/>
    </row>
    <row r="17" spans="1:10" s="593" customFormat="1" ht="8.25" customHeight="1" thickTop="1">
      <c r="A17" s="599"/>
      <c r="B17" s="599"/>
      <c r="C17" s="599"/>
      <c r="D17" s="599"/>
      <c r="E17" s="592"/>
      <c r="F17" s="592"/>
      <c r="G17" s="599"/>
      <c r="H17" s="599"/>
      <c r="I17" s="599"/>
      <c r="J17" s="599"/>
    </row>
    <row r="18" spans="1:10" s="593" customFormat="1" ht="30.75" thickBot="1">
      <c r="A18" s="594">
        <f>A16+1</f>
        <v>11</v>
      </c>
      <c r="B18" s="601" t="s">
        <v>60</v>
      </c>
      <c r="C18" s="1081">
        <f>E18-(E18*$E$16)</f>
        <v>60</v>
      </c>
      <c r="D18" s="598" t="s">
        <v>516</v>
      </c>
      <c r="E18" s="1096">
        <v>60</v>
      </c>
      <c r="F18" s="1080" t="s">
        <v>683</v>
      </c>
      <c r="G18" s="1015">
        <f>G16+1</f>
        <v>1</v>
      </c>
      <c r="H18" s="414" t="s">
        <v>70</v>
      </c>
      <c r="I18" s="1016">
        <f aca="true" t="shared" si="1" ref="I18:I29">C18</f>
        <v>60</v>
      </c>
      <c r="J18" s="1014" t="s">
        <v>516</v>
      </c>
    </row>
    <row r="19" spans="1:10" s="593" customFormat="1" ht="17.25" thickTop="1">
      <c r="A19" s="611">
        <f t="shared" si="0"/>
        <v>12</v>
      </c>
      <c r="B19" s="604" t="s">
        <v>21</v>
      </c>
      <c r="C19" s="605">
        <v>2000</v>
      </c>
      <c r="D19" s="606" t="s">
        <v>976</v>
      </c>
      <c r="E19" s="1095"/>
      <c r="F19" s="592"/>
      <c r="G19" s="1015">
        <f aca="true" t="shared" si="2" ref="G19:G29">G18+1</f>
        <v>2</v>
      </c>
      <c r="H19" s="414" t="s">
        <v>21</v>
      </c>
      <c r="I19" s="1017">
        <f t="shared" si="1"/>
        <v>2000</v>
      </c>
      <c r="J19" s="1014" t="s">
        <v>976</v>
      </c>
    </row>
    <row r="20" spans="1:10" s="593" customFormat="1" ht="17.25" thickBot="1">
      <c r="A20" s="594">
        <f t="shared" si="0"/>
        <v>13</v>
      </c>
      <c r="B20" s="601" t="s">
        <v>61</v>
      </c>
      <c r="C20" s="1081">
        <f>E20-(E20*$E$16)</f>
        <v>50</v>
      </c>
      <c r="D20" s="598" t="s">
        <v>516</v>
      </c>
      <c r="E20" s="1096">
        <v>50</v>
      </c>
      <c r="F20" s="592"/>
      <c r="G20" s="1015">
        <f t="shared" si="2"/>
        <v>3</v>
      </c>
      <c r="H20" s="414" t="s">
        <v>61</v>
      </c>
      <c r="I20" s="1016">
        <f t="shared" si="1"/>
        <v>50</v>
      </c>
      <c r="J20" s="1014" t="s">
        <v>516</v>
      </c>
    </row>
    <row r="21" spans="1:10" s="593" customFormat="1" ht="17.25" thickTop="1">
      <c r="A21" s="611">
        <f t="shared" si="0"/>
        <v>14</v>
      </c>
      <c r="B21" s="604" t="s">
        <v>22</v>
      </c>
      <c r="C21" s="605">
        <v>1200</v>
      </c>
      <c r="D21" s="606" t="s">
        <v>976</v>
      </c>
      <c r="E21" s="1095"/>
      <c r="F21" s="592"/>
      <c r="G21" s="1015">
        <f t="shared" si="2"/>
        <v>4</v>
      </c>
      <c r="H21" s="414" t="s">
        <v>22</v>
      </c>
      <c r="I21" s="1017">
        <f t="shared" si="1"/>
        <v>1200</v>
      </c>
      <c r="J21" s="1014" t="s">
        <v>976</v>
      </c>
    </row>
    <row r="22" spans="1:10" s="593" customFormat="1" ht="30.75" thickBot="1">
      <c r="A22" s="594">
        <f t="shared" si="0"/>
        <v>15</v>
      </c>
      <c r="B22" s="601" t="s">
        <v>89</v>
      </c>
      <c r="C22" s="1081">
        <f>E22-(E22*$E$16)</f>
        <v>5</v>
      </c>
      <c r="D22" s="598" t="s">
        <v>516</v>
      </c>
      <c r="E22" s="1096">
        <v>5</v>
      </c>
      <c r="F22" s="592"/>
      <c r="G22" s="1015">
        <f t="shared" si="2"/>
        <v>5</v>
      </c>
      <c r="H22" s="414" t="s">
        <v>89</v>
      </c>
      <c r="I22" s="1016">
        <f t="shared" si="1"/>
        <v>5</v>
      </c>
      <c r="J22" s="1014" t="s">
        <v>516</v>
      </c>
    </row>
    <row r="23" spans="1:10" s="593" customFormat="1" ht="17.25" thickTop="1">
      <c r="A23" s="611">
        <f t="shared" si="0"/>
        <v>16</v>
      </c>
      <c r="B23" s="604" t="s">
        <v>56</v>
      </c>
      <c r="C23" s="605">
        <v>10000</v>
      </c>
      <c r="D23" s="606" t="s">
        <v>976</v>
      </c>
      <c r="E23" s="1095"/>
      <c r="F23" s="592"/>
      <c r="G23" s="1015">
        <f t="shared" si="2"/>
        <v>6</v>
      </c>
      <c r="H23" s="414" t="s">
        <v>56</v>
      </c>
      <c r="I23" s="1017">
        <f t="shared" si="1"/>
        <v>10000</v>
      </c>
      <c r="J23" s="1014" t="s">
        <v>976</v>
      </c>
    </row>
    <row r="24" spans="1:10" s="593" customFormat="1" ht="17.25" thickBot="1">
      <c r="A24" s="594">
        <f t="shared" si="0"/>
        <v>17</v>
      </c>
      <c r="B24" s="601" t="s">
        <v>57</v>
      </c>
      <c r="C24" s="1081">
        <f>E24-(E24*$E$16)</f>
        <v>30</v>
      </c>
      <c r="D24" s="598" t="s">
        <v>516</v>
      </c>
      <c r="E24" s="1096">
        <v>30</v>
      </c>
      <c r="F24" s="592"/>
      <c r="G24" s="1015">
        <f t="shared" si="2"/>
        <v>7</v>
      </c>
      <c r="H24" s="414" t="s">
        <v>57</v>
      </c>
      <c r="I24" s="1016">
        <f t="shared" si="1"/>
        <v>30</v>
      </c>
      <c r="J24" s="1014" t="s">
        <v>516</v>
      </c>
    </row>
    <row r="25" spans="1:10" s="593" customFormat="1" ht="17.25" thickTop="1">
      <c r="A25" s="611">
        <f t="shared" si="0"/>
        <v>18</v>
      </c>
      <c r="B25" s="604" t="s">
        <v>24</v>
      </c>
      <c r="C25" s="605">
        <v>10000</v>
      </c>
      <c r="D25" s="606" t="s">
        <v>976</v>
      </c>
      <c r="E25" s="1095"/>
      <c r="F25" s="592"/>
      <c r="G25" s="1015">
        <f t="shared" si="2"/>
        <v>8</v>
      </c>
      <c r="H25" s="414" t="s">
        <v>24</v>
      </c>
      <c r="I25" s="1017">
        <f t="shared" si="1"/>
        <v>10000</v>
      </c>
      <c r="J25" s="1014" t="s">
        <v>976</v>
      </c>
    </row>
    <row r="26" spans="1:10" s="593" customFormat="1" ht="17.25" thickBot="1">
      <c r="A26" s="594">
        <f t="shared" si="0"/>
        <v>19</v>
      </c>
      <c r="B26" s="601" t="s">
        <v>62</v>
      </c>
      <c r="C26" s="1081">
        <f>E26-(E26*$E$16)</f>
        <v>5</v>
      </c>
      <c r="D26" s="598" t="s">
        <v>516</v>
      </c>
      <c r="E26" s="1096">
        <v>5</v>
      </c>
      <c r="F26" s="592"/>
      <c r="G26" s="1015">
        <f t="shared" si="2"/>
        <v>9</v>
      </c>
      <c r="H26" s="414" t="s">
        <v>62</v>
      </c>
      <c r="I26" s="1016">
        <f t="shared" si="1"/>
        <v>5</v>
      </c>
      <c r="J26" s="1014" t="s">
        <v>516</v>
      </c>
    </row>
    <row r="27" spans="1:10" s="593" customFormat="1" ht="30.75" thickTop="1">
      <c r="A27" s="611">
        <f t="shared" si="0"/>
        <v>20</v>
      </c>
      <c r="B27" s="604" t="s">
        <v>23</v>
      </c>
      <c r="C27" s="605">
        <v>700</v>
      </c>
      <c r="D27" s="606" t="s">
        <v>976</v>
      </c>
      <c r="E27" s="1095"/>
      <c r="F27" s="592"/>
      <c r="G27" s="1015">
        <f t="shared" si="2"/>
        <v>10</v>
      </c>
      <c r="H27" s="414" t="s">
        <v>23</v>
      </c>
      <c r="I27" s="1017">
        <f t="shared" si="1"/>
        <v>700</v>
      </c>
      <c r="J27" s="1014" t="s">
        <v>976</v>
      </c>
    </row>
    <row r="28" spans="1:10" s="593" customFormat="1" ht="17.25" thickBot="1">
      <c r="A28" s="594">
        <f t="shared" si="0"/>
        <v>21</v>
      </c>
      <c r="B28" s="601" t="s">
        <v>66</v>
      </c>
      <c r="C28" s="1081">
        <f>E28-(E28*$E$16)</f>
        <v>0.2</v>
      </c>
      <c r="D28" s="598" t="s">
        <v>516</v>
      </c>
      <c r="E28" s="1096">
        <v>0.2</v>
      </c>
      <c r="F28" s="592"/>
      <c r="G28" s="1015">
        <f t="shared" si="2"/>
        <v>11</v>
      </c>
      <c r="H28" s="414" t="s">
        <v>66</v>
      </c>
      <c r="I28" s="1016">
        <f t="shared" si="1"/>
        <v>0.2</v>
      </c>
      <c r="J28" s="1014" t="s">
        <v>516</v>
      </c>
    </row>
    <row r="29" spans="1:10" s="593" customFormat="1" ht="17.25" thickTop="1">
      <c r="A29" s="611">
        <f t="shared" si="0"/>
        <v>22</v>
      </c>
      <c r="B29" s="604" t="s">
        <v>67</v>
      </c>
      <c r="C29" s="605">
        <v>100000</v>
      </c>
      <c r="D29" s="606" t="s">
        <v>976</v>
      </c>
      <c r="E29" s="592"/>
      <c r="F29" s="592"/>
      <c r="G29" s="1015">
        <f t="shared" si="2"/>
        <v>12</v>
      </c>
      <c r="H29" s="414" t="s">
        <v>67</v>
      </c>
      <c r="I29" s="1017">
        <f t="shared" si="1"/>
        <v>100000</v>
      </c>
      <c r="J29" s="1014" t="s">
        <v>976</v>
      </c>
    </row>
    <row r="30" spans="1:10" s="593" customFormat="1" ht="8.25" customHeight="1">
      <c r="A30" s="599"/>
      <c r="B30" s="599"/>
      <c r="C30" s="599"/>
      <c r="D30" s="599"/>
      <c r="E30" s="592"/>
      <c r="F30" s="592"/>
      <c r="G30" s="599"/>
      <c r="H30" s="599"/>
      <c r="I30" s="599"/>
      <c r="J30" s="599"/>
    </row>
    <row r="31" spans="1:6" s="593" customFormat="1" ht="16.5">
      <c r="A31" s="615">
        <f>A29+1</f>
        <v>23</v>
      </c>
      <c r="B31" s="596" t="s">
        <v>977</v>
      </c>
      <c r="C31" s="597">
        <f>C18*C19+C20*C21+C22*C23+C24*C25+C26*C27+C28*C29</f>
        <v>553500</v>
      </c>
      <c r="D31" s="598" t="s">
        <v>516</v>
      </c>
      <c r="E31" s="592"/>
      <c r="F31" s="592"/>
    </row>
    <row r="32" spans="1:6" s="593" customFormat="1" ht="29.25" thickBot="1">
      <c r="A32" s="616">
        <f>A31+1</f>
        <v>24</v>
      </c>
      <c r="B32" s="617" t="s">
        <v>63</v>
      </c>
      <c r="C32" s="618">
        <f>C36*12</f>
        <v>260796</v>
      </c>
      <c r="D32" s="619" t="s">
        <v>516</v>
      </c>
      <c r="E32" s="592"/>
      <c r="F32" s="592"/>
    </row>
    <row r="33" spans="1:6" s="593" customFormat="1" ht="16.5">
      <c r="A33" s="595">
        <f>A32+1</f>
        <v>25</v>
      </c>
      <c r="B33" s="612" t="s">
        <v>118</v>
      </c>
      <c r="C33" s="613">
        <f>C32+C31</f>
        <v>814296</v>
      </c>
      <c r="D33" s="614" t="s">
        <v>516</v>
      </c>
      <c r="E33" s="592"/>
      <c r="F33" s="592"/>
    </row>
    <row r="34" spans="1:6" s="593" customFormat="1" ht="8.25" customHeight="1">
      <c r="A34" s="599"/>
      <c r="B34" s="599"/>
      <c r="C34" s="599"/>
      <c r="D34" s="599"/>
      <c r="E34" s="592"/>
      <c r="F34" s="592"/>
    </row>
    <row r="35" spans="1:6" s="593" customFormat="1" ht="16.5">
      <c r="A35" s="615">
        <f>A33+1</f>
        <v>26</v>
      </c>
      <c r="B35" s="596" t="s">
        <v>978</v>
      </c>
      <c r="C35" s="597">
        <f>C31/12</f>
        <v>46125</v>
      </c>
      <c r="D35" s="598" t="s">
        <v>516</v>
      </c>
      <c r="E35" s="592"/>
      <c r="F35" s="592"/>
    </row>
    <row r="36" spans="1:6" s="593" customFormat="1" ht="29.25" thickBot="1">
      <c r="A36" s="616">
        <f>A35+1</f>
        <v>27</v>
      </c>
      <c r="B36" s="617" t="s">
        <v>64</v>
      </c>
      <c r="C36" s="620">
        <v>21733</v>
      </c>
      <c r="D36" s="619" t="s">
        <v>516</v>
      </c>
      <c r="E36" s="592"/>
      <c r="F36" s="592"/>
    </row>
    <row r="37" spans="1:6" s="593" customFormat="1" ht="16.5">
      <c r="A37" s="595">
        <f>A36+1</f>
        <v>28</v>
      </c>
      <c r="B37" s="612" t="s">
        <v>117</v>
      </c>
      <c r="C37" s="613">
        <f>C33/12</f>
        <v>67858</v>
      </c>
      <c r="D37" s="614" t="s">
        <v>516</v>
      </c>
      <c r="E37" s="592"/>
      <c r="F37" s="592"/>
    </row>
    <row r="38" spans="1:6" s="593" customFormat="1" ht="8.25" customHeight="1">
      <c r="A38" s="599"/>
      <c r="B38" s="599"/>
      <c r="C38" s="599"/>
      <c r="D38" s="599"/>
      <c r="E38" s="592"/>
      <c r="F38" s="592"/>
    </row>
    <row r="39" spans="1:6" s="593" customFormat="1" ht="28.5">
      <c r="A39" s="615">
        <f>A37+1</f>
        <v>29</v>
      </c>
      <c r="B39" s="596" t="s">
        <v>120</v>
      </c>
      <c r="C39" s="597">
        <f>МАТ!D28</f>
        <v>129014</v>
      </c>
      <c r="D39" s="598" t="s">
        <v>516</v>
      </c>
      <c r="E39" s="592"/>
      <c r="F39" s="592"/>
    </row>
    <row r="40" spans="1:6" s="593" customFormat="1" ht="28.5">
      <c r="A40" s="615">
        <f>A39+1</f>
        <v>30</v>
      </c>
      <c r="B40" s="596" t="s">
        <v>197</v>
      </c>
      <c r="C40" s="597">
        <f>C47*12</f>
        <v>28440</v>
      </c>
      <c r="D40" s="598" t="s">
        <v>516</v>
      </c>
      <c r="E40" s="592"/>
      <c r="F40" s="592"/>
    </row>
    <row r="41" spans="1:6" s="593" customFormat="1" ht="16.5">
      <c r="A41" s="615">
        <f>A40+1</f>
        <v>31</v>
      </c>
      <c r="B41" s="596" t="s">
        <v>892</v>
      </c>
      <c r="C41" s="597">
        <f>C48*12</f>
        <v>18000</v>
      </c>
      <c r="D41" s="598" t="s">
        <v>516</v>
      </c>
      <c r="E41" s="592"/>
      <c r="F41" s="592"/>
    </row>
    <row r="42" spans="1:6" s="593" customFormat="1" ht="28.5">
      <c r="A42" s="615">
        <f>A41+1</f>
        <v>32</v>
      </c>
      <c r="B42" s="596" t="s">
        <v>893</v>
      </c>
      <c r="C42" s="941">
        <f>C49*12</f>
        <v>6000</v>
      </c>
      <c r="D42" s="598" t="s">
        <v>516</v>
      </c>
      <c r="E42" s="592"/>
      <c r="F42" s="592"/>
    </row>
    <row r="43" spans="1:6" s="593" customFormat="1" ht="17.25" thickBot="1">
      <c r="A43" s="616">
        <f>A42+1</f>
        <v>33</v>
      </c>
      <c r="B43" s="617" t="s">
        <v>200</v>
      </c>
      <c r="C43" s="618">
        <f>ПРС!F27</f>
        <v>224376</v>
      </c>
      <c r="D43" s="619"/>
      <c r="E43" s="592"/>
      <c r="F43" s="592"/>
    </row>
    <row r="44" spans="1:6" s="593" customFormat="1" ht="28.5">
      <c r="A44" s="595">
        <f>A43+1</f>
        <v>34</v>
      </c>
      <c r="B44" s="612" t="s">
        <v>202</v>
      </c>
      <c r="C44" s="613">
        <f>SUM(C39:C43)</f>
        <v>405830</v>
      </c>
      <c r="D44" s="614" t="s">
        <v>516</v>
      </c>
      <c r="E44" s="592"/>
      <c r="F44" s="592"/>
    </row>
    <row r="45" spans="1:6" s="593" customFormat="1" ht="8.25" customHeight="1">
      <c r="A45" s="599"/>
      <c r="B45" s="599"/>
      <c r="C45" s="599"/>
      <c r="D45" s="599"/>
      <c r="E45" s="592"/>
      <c r="F45" s="592"/>
    </row>
    <row r="46" spans="1:6" s="593" customFormat="1" ht="28.5">
      <c r="A46" s="615">
        <f>A44+1</f>
        <v>35</v>
      </c>
      <c r="B46" s="596" t="s">
        <v>198</v>
      </c>
      <c r="C46" s="597">
        <f>C39/12</f>
        <v>10751.166666666666</v>
      </c>
      <c r="D46" s="598" t="s">
        <v>516</v>
      </c>
      <c r="E46" s="592"/>
      <c r="F46" s="592"/>
    </row>
    <row r="47" spans="1:6" s="593" customFormat="1" ht="28.5">
      <c r="A47" s="615">
        <f>A46+1</f>
        <v>36</v>
      </c>
      <c r="B47" s="596" t="s">
        <v>199</v>
      </c>
      <c r="C47" s="597">
        <v>2370</v>
      </c>
      <c r="D47" s="598" t="s">
        <v>516</v>
      </c>
      <c r="E47" s="592"/>
      <c r="F47" s="592"/>
    </row>
    <row r="48" spans="1:6" s="593" customFormat="1" ht="21" customHeight="1">
      <c r="A48" s="615">
        <f>A47+1</f>
        <v>37</v>
      </c>
      <c r="B48" s="596" t="s">
        <v>119</v>
      </c>
      <c r="C48" s="597">
        <v>1500</v>
      </c>
      <c r="D48" s="598" t="s">
        <v>516</v>
      </c>
      <c r="E48" s="592"/>
      <c r="F48" s="592"/>
    </row>
    <row r="49" spans="1:6" s="593" customFormat="1" ht="21" customHeight="1">
      <c r="A49" s="615">
        <f>A48+1</f>
        <v>38</v>
      </c>
      <c r="B49" s="596" t="s">
        <v>422</v>
      </c>
      <c r="C49" s="597">
        <v>500</v>
      </c>
      <c r="D49" s="598" t="s">
        <v>516</v>
      </c>
      <c r="E49" s="592"/>
      <c r="F49" s="592"/>
    </row>
    <row r="50" spans="1:6" s="593" customFormat="1" ht="21" customHeight="1" thickBot="1">
      <c r="A50" s="616">
        <f>A49+1</f>
        <v>39</v>
      </c>
      <c r="B50" s="617" t="s">
        <v>421</v>
      </c>
      <c r="C50" s="618">
        <f>ПРС!F26</f>
        <v>18698</v>
      </c>
      <c r="D50" s="619" t="s">
        <v>516</v>
      </c>
      <c r="E50" s="592"/>
      <c r="F50" s="592"/>
    </row>
    <row r="51" spans="1:6" s="593" customFormat="1" ht="16.5">
      <c r="A51" s="595">
        <f>A50+1</f>
        <v>40</v>
      </c>
      <c r="B51" s="612" t="s">
        <v>158</v>
      </c>
      <c r="C51" s="613">
        <f>SUM(C46:C50)</f>
        <v>33819.166666666664</v>
      </c>
      <c r="D51" s="614" t="s">
        <v>516</v>
      </c>
      <c r="E51" s="592"/>
      <c r="F51" s="592"/>
    </row>
    <row r="52" spans="1:6" s="593" customFormat="1" ht="8.25" customHeight="1">
      <c r="A52" s="599"/>
      <c r="B52" s="599"/>
      <c r="C52" s="599"/>
      <c r="D52" s="599"/>
      <c r="E52" s="592"/>
      <c r="F52" s="592"/>
    </row>
    <row r="53" spans="1:6" s="593" customFormat="1" ht="21" customHeight="1">
      <c r="A53" s="615">
        <f>A51+1</f>
        <v>41</v>
      </c>
      <c r="B53" s="596" t="s">
        <v>201</v>
      </c>
      <c r="C53" s="597">
        <f>(C44-C43)/6</f>
        <v>30242.333333333332</v>
      </c>
      <c r="D53" s="598" t="s">
        <v>516</v>
      </c>
      <c r="E53" s="592"/>
      <c r="F53" s="592"/>
    </row>
    <row r="54" spans="1:6" s="593" customFormat="1" ht="21" customHeight="1">
      <c r="A54" s="615">
        <f>A53+1</f>
        <v>42</v>
      </c>
      <c r="B54" s="596" t="s">
        <v>241</v>
      </c>
      <c r="C54" s="597">
        <f>C33/6-C53</f>
        <v>105473.66666666667</v>
      </c>
      <c r="D54" s="598" t="s">
        <v>516</v>
      </c>
      <c r="E54" s="592"/>
      <c r="F54" s="592"/>
    </row>
    <row r="55" spans="1:6" s="593" customFormat="1" ht="21" customHeight="1">
      <c r="A55" s="615">
        <f>A54+1</f>
        <v>43</v>
      </c>
      <c r="B55" s="596" t="s">
        <v>240</v>
      </c>
      <c r="C55" s="597">
        <f>C33-C44-C54</f>
        <v>302992.3333333333</v>
      </c>
      <c r="D55" s="598" t="s">
        <v>516</v>
      </c>
      <c r="E55" s="592"/>
      <c r="F55" s="592"/>
    </row>
    <row r="56" spans="1:6" s="593" customFormat="1" ht="21" customHeight="1" thickBot="1">
      <c r="A56" s="616">
        <f>A55+1</f>
        <v>44</v>
      </c>
      <c r="B56" s="617" t="s">
        <v>238</v>
      </c>
      <c r="C56" s="618">
        <f>C55*25%</f>
        <v>75748.08333333333</v>
      </c>
      <c r="D56" s="619" t="s">
        <v>516</v>
      </c>
      <c r="E56" s="592"/>
      <c r="F56" s="592"/>
    </row>
    <row r="57" spans="1:6" s="593" customFormat="1" ht="20.25" customHeight="1">
      <c r="A57" s="595">
        <f>A56+1</f>
        <v>45</v>
      </c>
      <c r="B57" s="612" t="s">
        <v>239</v>
      </c>
      <c r="C57" s="613">
        <f>C55-C56</f>
        <v>227244.25</v>
      </c>
      <c r="D57" s="614" t="s">
        <v>516</v>
      </c>
      <c r="E57" s="592"/>
      <c r="F57" s="592"/>
    </row>
    <row r="58" spans="1:10" ht="60" customHeight="1">
      <c r="A58" s="352"/>
      <c r="B58" s="352"/>
      <c r="C58" s="610"/>
      <c r="D58" s="352"/>
      <c r="E58" s="592"/>
      <c r="F58" s="592"/>
      <c r="G58" s="593"/>
      <c r="H58" s="593"/>
      <c r="I58" s="593"/>
      <c r="J58" s="593"/>
    </row>
    <row r="59" spans="7:10" ht="16.5">
      <c r="G59" s="593"/>
      <c r="H59" s="593"/>
      <c r="I59" s="593"/>
      <c r="J59" s="593"/>
    </row>
  </sheetData>
  <sheetProtection/>
  <mergeCells count="14">
    <mergeCell ref="B2:D2"/>
    <mergeCell ref="B3:D3"/>
    <mergeCell ref="H2:J2"/>
    <mergeCell ref="H3:J3"/>
    <mergeCell ref="H5:J5"/>
    <mergeCell ref="H7:J7"/>
    <mergeCell ref="G15:G16"/>
    <mergeCell ref="H15:H16"/>
    <mergeCell ref="I15:I16"/>
    <mergeCell ref="J15:J16"/>
    <mergeCell ref="E15:F15"/>
    <mergeCell ref="G14:H14"/>
    <mergeCell ref="I14:J14"/>
    <mergeCell ref="E14:F14"/>
  </mergeCells>
  <printOptions horizontalCentered="1"/>
  <pageMargins left="0.7480314960629921" right="0.3937007874015748" top="0.83" bottom="0.2755905511811024" header="0.5118110236220472" footer="0.2755905511811024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I28" sqref="I28"/>
    </sheetView>
  </sheetViews>
  <sheetFormatPr defaultColWidth="9.00390625" defaultRowHeight="12.75"/>
  <cols>
    <col min="1" max="1" width="2.75390625" style="56" bestFit="1" customWidth="1"/>
    <col min="2" max="2" width="38.375" style="56" customWidth="1"/>
    <col min="3" max="3" width="7.75390625" style="56" customWidth="1"/>
    <col min="4" max="4" width="9.875" style="56" customWidth="1"/>
    <col min="5" max="6" width="7.75390625" style="56" customWidth="1"/>
    <col min="7" max="7" width="9.875" style="56" bestFit="1" customWidth="1"/>
    <col min="8" max="8" width="7.75390625" style="56" customWidth="1"/>
    <col min="9" max="9" width="24.75390625" style="56" customWidth="1"/>
    <col min="10" max="10" width="9.125" style="56" customWidth="1"/>
    <col min="11" max="11" width="1.875" style="56" customWidth="1"/>
    <col min="12" max="12" width="5.00390625" style="56" customWidth="1"/>
    <col min="13" max="16384" width="9.125" style="56" customWidth="1"/>
  </cols>
  <sheetData>
    <row r="1" spans="1:9" ht="12.75">
      <c r="A1" s="165" t="s">
        <v>605</v>
      </c>
      <c r="B1" s="57"/>
      <c r="C1" s="57"/>
      <c r="D1" s="57"/>
      <c r="E1" s="57"/>
      <c r="F1" s="57"/>
      <c r="G1" s="58"/>
      <c r="H1" s="166"/>
      <c r="I1" s="353"/>
    </row>
    <row r="2" spans="1:9" s="149" customFormat="1" ht="31.5" customHeight="1">
      <c r="A2" s="1153" t="s">
        <v>601</v>
      </c>
      <c r="B2" s="1153"/>
      <c r="C2" s="1153"/>
      <c r="D2" s="1153"/>
      <c r="E2" s="1153"/>
      <c r="F2" s="1153"/>
      <c r="G2" s="1153"/>
      <c r="H2" s="1153"/>
      <c r="I2" s="354"/>
    </row>
    <row r="3" spans="1:9" ht="13.5" thickBot="1">
      <c r="A3" s="1148" t="s">
        <v>612</v>
      </c>
      <c r="B3" s="1149"/>
      <c r="C3" s="1154" t="s">
        <v>719</v>
      </c>
      <c r="D3" s="1154"/>
      <c r="E3" s="1154"/>
      <c r="F3" s="1154"/>
      <c r="G3" s="1154"/>
      <c r="H3" s="1155"/>
      <c r="I3" s="353"/>
    </row>
    <row r="4" spans="1:9" ht="25.5">
      <c r="A4" s="1150"/>
      <c r="B4" s="1151"/>
      <c r="C4" s="191" t="s">
        <v>966</v>
      </c>
      <c r="D4" s="192" t="s">
        <v>969</v>
      </c>
      <c r="E4" s="191" t="s">
        <v>970</v>
      </c>
      <c r="F4" s="191" t="s">
        <v>971</v>
      </c>
      <c r="G4" s="192" t="s">
        <v>967</v>
      </c>
      <c r="H4" s="193" t="s">
        <v>968</v>
      </c>
      <c r="I4" s="353"/>
    </row>
    <row r="5" spans="1:9" ht="24" customHeight="1">
      <c r="A5" s="164">
        <v>1</v>
      </c>
      <c r="B5" s="161" t="s">
        <v>486</v>
      </c>
      <c r="C5" s="158">
        <v>4</v>
      </c>
      <c r="D5" s="158">
        <v>5</v>
      </c>
      <c r="E5" s="158">
        <v>3</v>
      </c>
      <c r="F5" s="158">
        <v>3</v>
      </c>
      <c r="G5" s="158">
        <v>4</v>
      </c>
      <c r="H5" s="448">
        <v>3.5</v>
      </c>
      <c r="I5" s="353"/>
    </row>
    <row r="6" spans="1:9" ht="24" customHeight="1">
      <c r="A6" s="164">
        <v>2</v>
      </c>
      <c r="B6" s="162" t="s">
        <v>487</v>
      </c>
      <c r="C6" s="147">
        <v>4</v>
      </c>
      <c r="D6" s="147">
        <v>4.5</v>
      </c>
      <c r="E6" s="147">
        <v>4</v>
      </c>
      <c r="F6" s="147">
        <v>4.5</v>
      </c>
      <c r="G6" s="147">
        <v>5</v>
      </c>
      <c r="H6" s="449">
        <v>4.5</v>
      </c>
      <c r="I6" s="353"/>
    </row>
    <row r="7" spans="1:9" ht="24" customHeight="1">
      <c r="A7" s="164">
        <v>3</v>
      </c>
      <c r="B7" s="162" t="s">
        <v>17</v>
      </c>
      <c r="C7" s="147">
        <v>3.5</v>
      </c>
      <c r="D7" s="147">
        <v>4</v>
      </c>
      <c r="E7" s="147">
        <v>3.5</v>
      </c>
      <c r="F7" s="147">
        <v>4</v>
      </c>
      <c r="G7" s="147">
        <v>4.5</v>
      </c>
      <c r="H7" s="449">
        <v>4.5</v>
      </c>
      <c r="I7" s="353"/>
    </row>
    <row r="8" spans="1:9" ht="24" customHeight="1">
      <c r="A8" s="164">
        <v>4</v>
      </c>
      <c r="B8" s="162" t="s">
        <v>488</v>
      </c>
      <c r="C8" s="147">
        <v>4</v>
      </c>
      <c r="D8" s="147">
        <v>4</v>
      </c>
      <c r="E8" s="147">
        <v>3</v>
      </c>
      <c r="F8" s="147">
        <v>3</v>
      </c>
      <c r="G8" s="147">
        <v>4</v>
      </c>
      <c r="H8" s="449">
        <v>4</v>
      </c>
      <c r="I8" s="353"/>
    </row>
    <row r="9" spans="1:9" ht="24" customHeight="1">
      <c r="A9" s="164">
        <v>5</v>
      </c>
      <c r="B9" s="162" t="s">
        <v>489</v>
      </c>
      <c r="C9" s="147">
        <v>3.5</v>
      </c>
      <c r="D9" s="147">
        <v>4.5</v>
      </c>
      <c r="E9" s="147">
        <v>3</v>
      </c>
      <c r="F9" s="147">
        <v>3</v>
      </c>
      <c r="G9" s="147">
        <v>4</v>
      </c>
      <c r="H9" s="449">
        <v>4</v>
      </c>
      <c r="I9" s="353"/>
    </row>
    <row r="10" spans="1:9" ht="24" customHeight="1" thickBot="1">
      <c r="A10" s="160">
        <v>6</v>
      </c>
      <c r="B10" s="163" t="s">
        <v>490</v>
      </c>
      <c r="C10" s="148">
        <v>3.75</v>
      </c>
      <c r="D10" s="148">
        <v>4.3</v>
      </c>
      <c r="E10" s="148">
        <v>3.25</v>
      </c>
      <c r="F10" s="148">
        <v>3.5</v>
      </c>
      <c r="G10" s="148">
        <v>4</v>
      </c>
      <c r="H10" s="450">
        <v>3.85</v>
      </c>
      <c r="I10" s="353"/>
    </row>
    <row r="11" spans="2:9" ht="18.75" customHeight="1" thickTop="1">
      <c r="B11" s="159" t="s">
        <v>604</v>
      </c>
      <c r="I11" s="353"/>
    </row>
    <row r="12" ht="24" customHeight="1">
      <c r="I12" s="353"/>
    </row>
    <row r="13" ht="24" customHeight="1">
      <c r="I13" s="353"/>
    </row>
    <row r="14" ht="24" customHeight="1">
      <c r="I14" s="353"/>
    </row>
    <row r="15" ht="12.75">
      <c r="I15" s="353"/>
    </row>
    <row r="16" spans="2:9" ht="12.75">
      <c r="B16" s="58"/>
      <c r="C16" s="58"/>
      <c r="D16" s="58"/>
      <c r="E16" s="58"/>
      <c r="F16" s="58"/>
      <c r="G16" s="58"/>
      <c r="H16" s="58"/>
      <c r="I16" s="353"/>
    </row>
    <row r="17" ht="18" customHeight="1">
      <c r="I17" s="353"/>
    </row>
    <row r="18" ht="12.75">
      <c r="I18" s="353"/>
    </row>
    <row r="19" ht="12.75">
      <c r="I19" s="353"/>
    </row>
    <row r="20" ht="12.75">
      <c r="I20" s="353"/>
    </row>
    <row r="21" ht="12.75">
      <c r="I21" s="353"/>
    </row>
    <row r="22" ht="12.75">
      <c r="I22" s="353"/>
    </row>
    <row r="23" ht="12.75">
      <c r="I23" s="353"/>
    </row>
    <row r="24" ht="12.75">
      <c r="I24" s="353"/>
    </row>
    <row r="25" ht="12.75">
      <c r="I25" s="353"/>
    </row>
    <row r="26" ht="12.75">
      <c r="I26" s="353"/>
    </row>
    <row r="27" ht="12.75">
      <c r="I27" s="353"/>
    </row>
    <row r="28" ht="12.75">
      <c r="I28" s="353"/>
    </row>
    <row r="29" ht="12.75">
      <c r="I29" s="353"/>
    </row>
    <row r="30" ht="12.75">
      <c r="I30" s="353"/>
    </row>
    <row r="31" ht="12.75">
      <c r="I31" s="353"/>
    </row>
    <row r="32" ht="12.75">
      <c r="I32" s="353"/>
    </row>
    <row r="33" ht="12.75">
      <c r="I33" s="353"/>
    </row>
    <row r="34" ht="73.5" customHeight="1">
      <c r="I34" s="353"/>
    </row>
    <row r="35" ht="12.75">
      <c r="I35" s="353"/>
    </row>
    <row r="36" spans="1:9" ht="14.25" customHeight="1">
      <c r="A36" s="1152" t="s">
        <v>655</v>
      </c>
      <c r="B36" s="1152"/>
      <c r="C36" s="1152"/>
      <c r="D36" s="1152"/>
      <c r="E36" s="1152"/>
      <c r="F36" s="1152"/>
      <c r="G36" s="1152"/>
      <c r="H36" s="1152"/>
      <c r="I36" s="353"/>
    </row>
    <row r="37" spans="1:15" ht="60" customHeight="1">
      <c r="A37" s="353"/>
      <c r="B37" s="353"/>
      <c r="C37" s="353"/>
      <c r="D37" s="353"/>
      <c r="E37" s="353"/>
      <c r="F37" s="353"/>
      <c r="G37" s="353"/>
      <c r="H37" s="353"/>
      <c r="I37" s="353"/>
      <c r="O37" s="165" t="s">
        <v>436</v>
      </c>
    </row>
  </sheetData>
  <sheetProtection/>
  <mergeCells count="4">
    <mergeCell ref="A3:B4"/>
    <mergeCell ref="A36:H36"/>
    <mergeCell ref="A2:H2"/>
    <mergeCell ref="C3:H3"/>
  </mergeCells>
  <printOptions horizontalCentered="1"/>
  <pageMargins left="0.7874015748031497" right="0.2755905511811024" top="0.984251968503937" bottom="0.37" header="0.5118110236220472" footer="0.3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24">
      <selection activeCell="F28" sqref="F28"/>
    </sheetView>
  </sheetViews>
  <sheetFormatPr defaultColWidth="9.00390625" defaultRowHeight="12.75"/>
  <cols>
    <col min="1" max="1" width="6.375" style="0" bestFit="1" customWidth="1"/>
    <col min="2" max="2" width="44.75390625" style="0" customWidth="1"/>
    <col min="3" max="3" width="8.375" style="0" customWidth="1"/>
    <col min="4" max="4" width="10.125" style="0" bestFit="1" customWidth="1"/>
    <col min="5" max="5" width="16.375" style="0" customWidth="1"/>
    <col min="6" max="6" width="29.00390625" style="0" customWidth="1"/>
  </cols>
  <sheetData>
    <row r="1" spans="1:6" ht="23.25" customHeight="1">
      <c r="A1" s="1160" t="s">
        <v>996</v>
      </c>
      <c r="B1" s="1160"/>
      <c r="C1" s="1160"/>
      <c r="D1" s="1160"/>
      <c r="E1" s="1160"/>
      <c r="F1" s="353"/>
    </row>
    <row r="2" spans="1:6" ht="4.5" customHeight="1">
      <c r="A2" s="546"/>
      <c r="B2" s="546"/>
      <c r="C2" s="546"/>
      <c r="D2" s="546"/>
      <c r="E2" s="546"/>
      <c r="F2" s="353"/>
    </row>
    <row r="3" spans="1:6" ht="23.25" customHeight="1">
      <c r="A3" s="1159" t="s">
        <v>992</v>
      </c>
      <c r="B3" s="1159"/>
      <c r="C3" s="1159"/>
      <c r="D3" s="1159"/>
      <c r="E3" s="1159"/>
      <c r="F3" s="353"/>
    </row>
    <row r="4" spans="1:6" ht="38.25">
      <c r="A4" s="543" t="s">
        <v>611</v>
      </c>
      <c r="B4" s="543" t="s">
        <v>989</v>
      </c>
      <c r="C4" s="543" t="s">
        <v>250</v>
      </c>
      <c r="D4" s="543" t="s">
        <v>988</v>
      </c>
      <c r="E4" s="543" t="s">
        <v>995</v>
      </c>
      <c r="F4" s="353"/>
    </row>
    <row r="5" spans="1:6" ht="15">
      <c r="A5" s="539">
        <v>1</v>
      </c>
      <c r="B5" s="540" t="s">
        <v>836</v>
      </c>
      <c r="C5" s="537">
        <v>2</v>
      </c>
      <c r="D5" s="537">
        <v>1</v>
      </c>
      <c r="E5" s="541">
        <v>3401.32</v>
      </c>
      <c r="F5" s="353"/>
    </row>
    <row r="6" spans="1:6" ht="15">
      <c r="A6" s="539">
        <v>2</v>
      </c>
      <c r="B6" s="540" t="s">
        <v>839</v>
      </c>
      <c r="C6" s="537">
        <v>2</v>
      </c>
      <c r="D6" s="537">
        <v>1</v>
      </c>
      <c r="E6" s="541">
        <v>1041</v>
      </c>
      <c r="F6" s="353"/>
    </row>
    <row r="7" spans="1:6" ht="15.75" thickBot="1">
      <c r="A7" s="547"/>
      <c r="B7" s="548"/>
      <c r="C7" s="548"/>
      <c r="D7" s="549"/>
      <c r="E7" s="550"/>
      <c r="F7" s="353"/>
    </row>
    <row r="8" spans="1:6" ht="15.75">
      <c r="A8" s="542"/>
      <c r="B8" s="497"/>
      <c r="C8" s="497"/>
      <c r="D8" s="546" t="s">
        <v>997</v>
      </c>
      <c r="E8" s="555">
        <f>SUM(E5:E7)</f>
        <v>4442.32</v>
      </c>
      <c r="F8" s="353"/>
    </row>
    <row r="9" spans="1:6" s="497" customFormat="1" ht="5.25" customHeight="1">
      <c r="A9" s="542"/>
      <c r="F9" s="353"/>
    </row>
    <row r="10" spans="1:6" s="83" customFormat="1" ht="24.75" customHeight="1">
      <c r="A10" s="1159" t="s">
        <v>993</v>
      </c>
      <c r="B10" s="1159"/>
      <c r="C10" s="1159"/>
      <c r="D10" s="1159"/>
      <c r="E10" s="1159"/>
      <c r="F10" s="353"/>
    </row>
    <row r="11" spans="1:6" ht="38.25" customHeight="1">
      <c r="A11" s="543" t="s">
        <v>611</v>
      </c>
      <c r="B11" s="543" t="s">
        <v>989</v>
      </c>
      <c r="C11" s="543" t="s">
        <v>250</v>
      </c>
      <c r="D11" s="543" t="s">
        <v>988</v>
      </c>
      <c r="E11" s="543" t="s">
        <v>995</v>
      </c>
      <c r="F11" s="353"/>
    </row>
    <row r="12" spans="1:6" s="497" customFormat="1" ht="15">
      <c r="A12" s="539">
        <v>1</v>
      </c>
      <c r="B12" s="551" t="s">
        <v>835</v>
      </c>
      <c r="C12" s="537">
        <v>2</v>
      </c>
      <c r="D12" s="537">
        <v>1</v>
      </c>
      <c r="E12" s="541">
        <v>3400</v>
      </c>
      <c r="F12" s="353"/>
    </row>
    <row r="13" spans="1:6" s="497" customFormat="1" ht="15" customHeight="1">
      <c r="A13" s="539">
        <f aca="true" t="shared" si="0" ref="A13:A22">A12+1</f>
        <v>2</v>
      </c>
      <c r="B13" s="1161" t="s">
        <v>838</v>
      </c>
      <c r="C13" s="537">
        <v>2</v>
      </c>
      <c r="D13" s="537">
        <v>1</v>
      </c>
      <c r="E13" s="541">
        <v>5670</v>
      </c>
      <c r="F13" s="353"/>
    </row>
    <row r="14" spans="1:6" s="497" customFormat="1" ht="0.75" customHeight="1" hidden="1" thickBot="1">
      <c r="A14" s="539">
        <f t="shared" si="0"/>
        <v>3</v>
      </c>
      <c r="B14" s="1162"/>
      <c r="C14" s="537">
        <v>2</v>
      </c>
      <c r="D14" s="537">
        <v>1</v>
      </c>
      <c r="E14" s="541"/>
      <c r="F14" s="353"/>
    </row>
    <row r="15" spans="1:6" s="497" customFormat="1" ht="17.25" customHeight="1">
      <c r="A15" s="539">
        <f t="shared" si="0"/>
        <v>4</v>
      </c>
      <c r="B15" s="540" t="s">
        <v>840</v>
      </c>
      <c r="C15" s="537">
        <v>2</v>
      </c>
      <c r="D15" s="537">
        <v>1</v>
      </c>
      <c r="E15" s="541">
        <v>2860</v>
      </c>
      <c r="F15" s="353"/>
    </row>
    <row r="16" spans="1:6" s="497" customFormat="1" ht="18" customHeight="1">
      <c r="A16" s="539">
        <f t="shared" si="0"/>
        <v>5</v>
      </c>
      <c r="B16" s="1161" t="s">
        <v>841</v>
      </c>
      <c r="C16" s="537">
        <v>2</v>
      </c>
      <c r="D16" s="537">
        <v>1</v>
      </c>
      <c r="E16" s="541">
        <v>10351.8</v>
      </c>
      <c r="F16" s="353"/>
    </row>
    <row r="17" spans="1:6" s="497" customFormat="1" ht="13.5" customHeight="1" hidden="1" thickBot="1">
      <c r="A17" s="539">
        <f t="shared" si="0"/>
        <v>6</v>
      </c>
      <c r="B17" s="1162"/>
      <c r="C17" s="537">
        <v>2</v>
      </c>
      <c r="D17" s="537"/>
      <c r="E17" s="541"/>
      <c r="F17" s="353"/>
    </row>
    <row r="18" spans="1:6" s="497" customFormat="1" ht="15">
      <c r="A18" s="539">
        <f t="shared" si="0"/>
        <v>7</v>
      </c>
      <c r="B18" s="540" t="s">
        <v>842</v>
      </c>
      <c r="C18" s="537">
        <v>2</v>
      </c>
      <c r="D18" s="537">
        <v>1</v>
      </c>
      <c r="E18" s="541">
        <v>28932.3</v>
      </c>
      <c r="F18" s="353"/>
    </row>
    <row r="19" spans="1:6" s="497" customFormat="1" ht="15">
      <c r="A19" s="539">
        <f t="shared" si="0"/>
        <v>8</v>
      </c>
      <c r="B19" s="540" t="s">
        <v>859</v>
      </c>
      <c r="C19" s="537">
        <v>2</v>
      </c>
      <c r="D19" s="537">
        <v>1</v>
      </c>
      <c r="E19" s="541">
        <v>423.8</v>
      </c>
      <c r="F19" s="353"/>
    </row>
    <row r="20" spans="1:6" s="497" customFormat="1" ht="15">
      <c r="A20" s="539">
        <f t="shared" si="0"/>
        <v>9</v>
      </c>
      <c r="B20" s="544" t="s">
        <v>859</v>
      </c>
      <c r="C20" s="537">
        <v>2</v>
      </c>
      <c r="D20" s="537">
        <v>1</v>
      </c>
      <c r="E20" s="553">
        <v>342</v>
      </c>
      <c r="F20" s="353"/>
    </row>
    <row r="21" spans="1:6" s="497" customFormat="1" ht="15">
      <c r="A21" s="539">
        <f t="shared" si="0"/>
        <v>10</v>
      </c>
      <c r="B21" s="544" t="s">
        <v>843</v>
      </c>
      <c r="C21" s="537">
        <v>2</v>
      </c>
      <c r="D21" s="552">
        <v>3</v>
      </c>
      <c r="E21" s="553">
        <v>10</v>
      </c>
      <c r="F21" s="353"/>
    </row>
    <row r="22" spans="1:6" s="497" customFormat="1" ht="15">
      <c r="A22" s="539">
        <f t="shared" si="0"/>
        <v>11</v>
      </c>
      <c r="B22" s="544" t="s">
        <v>139</v>
      </c>
      <c r="C22" s="537">
        <v>2</v>
      </c>
      <c r="D22" s="552">
        <v>1</v>
      </c>
      <c r="E22" s="553">
        <v>768</v>
      </c>
      <c r="F22" s="353"/>
    </row>
    <row r="23" spans="1:6" s="497" customFormat="1" ht="15.75" thickBot="1">
      <c r="A23" s="547"/>
      <c r="B23" s="548"/>
      <c r="C23" s="548"/>
      <c r="D23" s="549"/>
      <c r="E23" s="550"/>
      <c r="F23" s="353"/>
    </row>
    <row r="24" spans="1:6" s="497" customFormat="1" ht="15.75">
      <c r="A24" s="542"/>
      <c r="D24" s="546" t="s">
        <v>997</v>
      </c>
      <c r="E24" s="556">
        <f>SUM(E12:E22)</f>
        <v>52757.9</v>
      </c>
      <c r="F24" s="353"/>
    </row>
    <row r="25" spans="1:6" s="497" customFormat="1" ht="5.25" customHeight="1">
      <c r="A25" s="542"/>
      <c r="F25" s="353"/>
    </row>
    <row r="26" spans="1:6" s="83" customFormat="1" ht="24.75" customHeight="1">
      <c r="A26" s="1159" t="s">
        <v>994</v>
      </c>
      <c r="B26" s="1159"/>
      <c r="C26" s="1159"/>
      <c r="D26" s="1159"/>
      <c r="E26" s="1159"/>
      <c r="F26" s="353"/>
    </row>
    <row r="27" spans="1:6" ht="38.25">
      <c r="A27" s="543" t="s">
        <v>611</v>
      </c>
      <c r="B27" s="543" t="s">
        <v>989</v>
      </c>
      <c r="C27" s="543" t="s">
        <v>250</v>
      </c>
      <c r="D27" s="543" t="s">
        <v>988</v>
      </c>
      <c r="E27" s="543" t="s">
        <v>995</v>
      </c>
      <c r="F27" s="353"/>
    </row>
    <row r="28" spans="1:6" ht="14.25" customHeight="1">
      <c r="A28" s="539">
        <v>1</v>
      </c>
      <c r="B28" s="540" t="s">
        <v>837</v>
      </c>
      <c r="C28" s="537">
        <v>2</v>
      </c>
      <c r="D28" s="537">
        <v>1</v>
      </c>
      <c r="E28" s="541">
        <v>769</v>
      </c>
      <c r="F28" s="353"/>
    </row>
    <row r="29" spans="1:6" ht="15">
      <c r="A29" s="539">
        <f>A28+1</f>
        <v>2</v>
      </c>
      <c r="B29" s="540" t="s">
        <v>840</v>
      </c>
      <c r="C29" s="537">
        <v>2</v>
      </c>
      <c r="D29" s="537">
        <v>1</v>
      </c>
      <c r="E29" s="541">
        <v>330</v>
      </c>
      <c r="F29" s="353"/>
    </row>
    <row r="30" spans="1:6" ht="15.75" thickBot="1">
      <c r="A30" s="547"/>
      <c r="B30" s="548"/>
      <c r="C30" s="548"/>
      <c r="D30" s="549"/>
      <c r="E30" s="550"/>
      <c r="F30" s="353"/>
    </row>
    <row r="31" spans="1:6" ht="15.75">
      <c r="A31" s="542"/>
      <c r="B31" s="497"/>
      <c r="C31" s="497"/>
      <c r="D31" s="546" t="s">
        <v>997</v>
      </c>
      <c r="E31" s="556">
        <f>SUM(E28:E30)</f>
        <v>1099</v>
      </c>
      <c r="F31" s="353"/>
    </row>
    <row r="32" spans="1:6" ht="7.5" customHeight="1">
      <c r="A32" s="156"/>
      <c r="F32" s="353"/>
    </row>
    <row r="33" spans="1:6" ht="15.75">
      <c r="A33" s="1156" t="s">
        <v>999</v>
      </c>
      <c r="B33" s="1157"/>
      <c r="C33" s="1157"/>
      <c r="D33" s="1158"/>
      <c r="E33" s="554">
        <f>E8+E24+E31</f>
        <v>58299.22</v>
      </c>
      <c r="F33" s="353"/>
    </row>
    <row r="34" ht="12.75">
      <c r="F34" s="353"/>
    </row>
    <row r="35" spans="1:6" ht="12.75">
      <c r="A35" t="s">
        <v>252</v>
      </c>
      <c r="F35" s="353"/>
    </row>
    <row r="36" spans="1:6" ht="12.75">
      <c r="A36" t="s">
        <v>253</v>
      </c>
      <c r="F36" s="353"/>
    </row>
    <row r="37" ht="12.75">
      <c r="F37" s="353"/>
    </row>
    <row r="38" ht="12.75">
      <c r="F38" s="353"/>
    </row>
    <row r="39" ht="12.75">
      <c r="F39" s="353"/>
    </row>
    <row r="40" ht="12.75">
      <c r="F40" s="353"/>
    </row>
    <row r="41" ht="12.75">
      <c r="F41" s="353"/>
    </row>
    <row r="42" ht="12.75">
      <c r="F42" s="353"/>
    </row>
    <row r="43" ht="12.75">
      <c r="F43" s="353"/>
    </row>
    <row r="44" ht="12.75">
      <c r="F44" s="353"/>
    </row>
    <row r="45" ht="12.75">
      <c r="F45" s="353"/>
    </row>
    <row r="46" ht="12.75">
      <c r="F46" s="353"/>
    </row>
    <row r="47" ht="12.75">
      <c r="F47" s="353"/>
    </row>
    <row r="48" ht="12.75">
      <c r="F48" s="353"/>
    </row>
    <row r="49" ht="12.75">
      <c r="F49" s="353"/>
    </row>
    <row r="50" ht="12.75">
      <c r="F50" s="353"/>
    </row>
    <row r="51" ht="12.75">
      <c r="F51" s="353"/>
    </row>
    <row r="52" ht="12.75">
      <c r="F52" s="353"/>
    </row>
    <row r="53" spans="1:6" ht="73.5" customHeight="1">
      <c r="A53" s="353"/>
      <c r="B53" s="353"/>
      <c r="C53" s="353"/>
      <c r="D53" s="353"/>
      <c r="E53" s="353"/>
      <c r="F53" s="353"/>
    </row>
  </sheetData>
  <sheetProtection/>
  <mergeCells count="7">
    <mergeCell ref="A33:D33"/>
    <mergeCell ref="A10:E10"/>
    <mergeCell ref="A26:E26"/>
    <mergeCell ref="A1:E1"/>
    <mergeCell ref="A3:E3"/>
    <mergeCell ref="B13:B14"/>
    <mergeCell ref="B16:B17"/>
  </mergeCells>
  <printOptions horizontalCentered="1" verticalCentered="1"/>
  <pageMargins left="0.7874015748031497" right="0.15748031496062992" top="0.56" bottom="0.5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2"/>
  <sheetViews>
    <sheetView showGridLines="0" zoomScale="75" zoomScaleNormal="75" zoomScalePageLayoutView="0" workbookViewId="0" topLeftCell="A1">
      <selection activeCell="E30" sqref="E30"/>
    </sheetView>
  </sheetViews>
  <sheetFormatPr defaultColWidth="8.875" defaultRowHeight="12.75"/>
  <cols>
    <col min="1" max="1" width="47.25390625" style="36" customWidth="1"/>
    <col min="2" max="2" width="14.375" style="36" customWidth="1"/>
    <col min="3" max="3" width="14.625" style="36" customWidth="1"/>
    <col min="4" max="4" width="17.25390625" style="36" bestFit="1" customWidth="1"/>
    <col min="5" max="5" width="24.875" style="36" customWidth="1"/>
    <col min="6" max="16384" width="8.875" style="36" customWidth="1"/>
  </cols>
  <sheetData>
    <row r="1" spans="4:5" ht="27" customHeight="1">
      <c r="D1" s="381" t="s">
        <v>656</v>
      </c>
      <c r="E1" s="353"/>
    </row>
    <row r="2" spans="1:5" ht="18" customHeight="1">
      <c r="A2" s="1173" t="s">
        <v>156</v>
      </c>
      <c r="B2" s="1173"/>
      <c r="C2" s="1173"/>
      <c r="D2" s="1173"/>
      <c r="E2" s="353"/>
    </row>
    <row r="3" spans="1:5" ht="15">
      <c r="A3" s="1174" t="s">
        <v>388</v>
      </c>
      <c r="B3" s="1174"/>
      <c r="C3" s="1174"/>
      <c r="D3" s="1174"/>
      <c r="E3" s="353"/>
    </row>
    <row r="4" spans="1:5" ht="12.75">
      <c r="A4" s="1179" t="s">
        <v>2</v>
      </c>
      <c r="B4" s="1179"/>
      <c r="C4" s="1179"/>
      <c r="D4" s="1179"/>
      <c r="E4" s="353"/>
    </row>
    <row r="5" ht="6.75" customHeight="1" thickBot="1">
      <c r="E5" s="353"/>
    </row>
    <row r="6" spans="1:5" ht="17.25" customHeight="1" thickTop="1">
      <c r="A6" s="1175" t="s">
        <v>408</v>
      </c>
      <c r="B6" s="1180" t="s">
        <v>192</v>
      </c>
      <c r="C6" s="1180" t="s">
        <v>637</v>
      </c>
      <c r="D6" s="1180" t="s">
        <v>638</v>
      </c>
      <c r="E6" s="353"/>
    </row>
    <row r="7" spans="1:5" ht="33.75" customHeight="1" thickBot="1">
      <c r="A7" s="1176"/>
      <c r="B7" s="1181"/>
      <c r="C7" s="1181"/>
      <c r="D7" s="1181"/>
      <c r="E7" s="353"/>
    </row>
    <row r="8" spans="1:5" ht="0.75" customHeight="1" thickBot="1" thickTop="1">
      <c r="A8" s="150"/>
      <c r="B8" s="151"/>
      <c r="C8" s="621"/>
      <c r="D8" s="152"/>
      <c r="E8" s="353"/>
    </row>
    <row r="9" spans="1:5" ht="6.75" customHeight="1" thickBot="1" thickTop="1">
      <c r="A9" s="1167"/>
      <c r="B9" s="1168"/>
      <c r="C9" s="1168"/>
      <c r="D9" s="1169"/>
      <c r="E9" s="353"/>
    </row>
    <row r="10" spans="1:5" ht="44.25" customHeight="1" thickTop="1">
      <c r="A10" s="631" t="s">
        <v>162</v>
      </c>
      <c r="B10" s="624">
        <v>0.05</v>
      </c>
      <c r="C10" s="1177" t="s">
        <v>122</v>
      </c>
      <c r="D10" s="1178"/>
      <c r="E10" s="353"/>
    </row>
    <row r="11" spans="1:5" ht="12" customHeight="1">
      <c r="A11" s="632" t="s">
        <v>130</v>
      </c>
      <c r="B11" s="175"/>
      <c r="C11" s="1163"/>
      <c r="D11" s="1164"/>
      <c r="E11" s="353"/>
    </row>
    <row r="12" spans="1:5" ht="12" customHeight="1">
      <c r="A12" s="632" t="s">
        <v>131</v>
      </c>
      <c r="B12" s="175"/>
      <c r="C12" s="1163"/>
      <c r="D12" s="1164"/>
      <c r="E12" s="353"/>
    </row>
    <row r="13" spans="1:5" ht="12" customHeight="1">
      <c r="A13" s="632" t="s">
        <v>132</v>
      </c>
      <c r="B13" s="175"/>
      <c r="C13" s="1163"/>
      <c r="D13" s="1164"/>
      <c r="E13" s="353"/>
    </row>
    <row r="14" spans="1:5" ht="12" customHeight="1">
      <c r="A14" s="632" t="s">
        <v>133</v>
      </c>
      <c r="B14" s="705"/>
      <c r="C14" s="1165"/>
      <c r="D14" s="1166"/>
      <c r="E14" s="353"/>
    </row>
    <row r="15" spans="1:5" ht="24" customHeight="1" thickBot="1">
      <c r="A15" s="711" t="s">
        <v>644</v>
      </c>
      <c r="B15" s="623"/>
      <c r="C15" s="626">
        <v>0</v>
      </c>
      <c r="D15" s="628" t="s">
        <v>124</v>
      </c>
      <c r="E15" s="353"/>
    </row>
    <row r="16" spans="1:5" ht="44.25" customHeight="1" thickTop="1">
      <c r="A16" s="631" t="s">
        <v>163</v>
      </c>
      <c r="B16" s="625">
        <v>0.25</v>
      </c>
      <c r="C16" s="1163" t="s">
        <v>161</v>
      </c>
      <c r="D16" s="1164"/>
      <c r="E16" s="353"/>
    </row>
    <row r="17" spans="1:5" ht="12" customHeight="1">
      <c r="A17" s="632" t="s">
        <v>125</v>
      </c>
      <c r="B17" s="175"/>
      <c r="C17" s="1163"/>
      <c r="D17" s="1164"/>
      <c r="E17" s="353"/>
    </row>
    <row r="18" spans="1:5" ht="12" customHeight="1">
      <c r="A18" s="632" t="s">
        <v>126</v>
      </c>
      <c r="B18" s="175"/>
      <c r="C18" s="1163"/>
      <c r="D18" s="1164"/>
      <c r="E18" s="353"/>
    </row>
    <row r="19" spans="1:5" ht="12" customHeight="1">
      <c r="A19" s="632" t="s">
        <v>127</v>
      </c>
      <c r="B19" s="175"/>
      <c r="C19" s="1163"/>
      <c r="D19" s="1164"/>
      <c r="E19" s="353"/>
    </row>
    <row r="20" spans="1:5" ht="12" customHeight="1">
      <c r="A20" s="632" t="s">
        <v>128</v>
      </c>
      <c r="B20" s="175"/>
      <c r="C20" s="1163"/>
      <c r="D20" s="1164"/>
      <c r="E20" s="353"/>
    </row>
    <row r="21" spans="1:5" ht="12" customHeight="1">
      <c r="A21" s="632" t="s">
        <v>129</v>
      </c>
      <c r="B21" s="705"/>
      <c r="C21" s="1165"/>
      <c r="D21" s="1166"/>
      <c r="E21" s="353"/>
    </row>
    <row r="22" spans="1:5" ht="24" customHeight="1" thickBot="1">
      <c r="A22" s="711" t="s">
        <v>645</v>
      </c>
      <c r="B22" s="623"/>
      <c r="C22" s="626">
        <f>С_ОБЛ!E33</f>
        <v>58299.22</v>
      </c>
      <c r="D22" s="627">
        <v>38718</v>
      </c>
      <c r="E22" s="353"/>
    </row>
    <row r="23" spans="1:5" ht="45" customHeight="1" thickTop="1">
      <c r="A23" s="631" t="s">
        <v>164</v>
      </c>
      <c r="B23" s="625">
        <v>0.15</v>
      </c>
      <c r="C23" s="1163" t="s">
        <v>251</v>
      </c>
      <c r="D23" s="1164"/>
      <c r="E23" s="353"/>
    </row>
    <row r="24" spans="1:5" ht="12.75">
      <c r="A24" s="632" t="s">
        <v>134</v>
      </c>
      <c r="B24" s="175"/>
      <c r="C24" s="1163"/>
      <c r="D24" s="1164"/>
      <c r="E24" s="353"/>
    </row>
    <row r="25" spans="1:5" ht="12.75">
      <c r="A25" s="632" t="s">
        <v>157</v>
      </c>
      <c r="B25" s="705"/>
      <c r="C25" s="1165"/>
      <c r="D25" s="1166"/>
      <c r="E25" s="353"/>
    </row>
    <row r="26" spans="1:5" ht="21" customHeight="1" thickBot="1">
      <c r="A26" s="711" t="s">
        <v>646</v>
      </c>
      <c r="B26" s="623"/>
      <c r="C26" s="626">
        <v>0</v>
      </c>
      <c r="D26" s="627" t="s">
        <v>124</v>
      </c>
      <c r="E26" s="353"/>
    </row>
    <row r="27" spans="1:5" ht="28.5" customHeight="1" thickBot="1" thickTop="1">
      <c r="A27" s="1171" t="s">
        <v>169</v>
      </c>
      <c r="B27" s="1172"/>
      <c r="C27" s="629">
        <f>C15+C22+C26</f>
        <v>58299.22</v>
      </c>
      <c r="D27" s="630">
        <v>39083</v>
      </c>
      <c r="E27" s="353"/>
    </row>
    <row r="28" spans="1:5" ht="20.25" customHeight="1" thickTop="1">
      <c r="A28" s="622" t="s">
        <v>151</v>
      </c>
      <c r="B28" s="176"/>
      <c r="C28" s="176"/>
      <c r="D28" s="178"/>
      <c r="E28" s="353"/>
    </row>
    <row r="29" spans="1:5" ht="93.75" customHeight="1">
      <c r="A29" s="1170" t="s">
        <v>170</v>
      </c>
      <c r="B29" s="1170"/>
      <c r="C29" s="1170"/>
      <c r="D29" s="1170"/>
      <c r="E29" s="353"/>
    </row>
    <row r="30" spans="1:5" ht="58.5" customHeight="1">
      <c r="A30" s="1170" t="s">
        <v>647</v>
      </c>
      <c r="B30" s="1170"/>
      <c r="C30" s="1170"/>
      <c r="D30" s="1170"/>
      <c r="E30" s="353"/>
    </row>
    <row r="31" spans="1:5" ht="60" customHeight="1">
      <c r="A31" s="353"/>
      <c r="B31" s="353"/>
      <c r="C31" s="353"/>
      <c r="D31" s="353"/>
      <c r="E31" s="353"/>
    </row>
    <row r="32" ht="12.75">
      <c r="D32" s="178"/>
    </row>
    <row r="33" ht="12.75">
      <c r="D33" s="178"/>
    </row>
    <row r="34" ht="12.75">
      <c r="D34" s="178"/>
    </row>
    <row r="35" ht="12.75">
      <c r="D35" s="178"/>
    </row>
    <row r="36" ht="12.75">
      <c r="D36" s="178"/>
    </row>
    <row r="37" ht="12.75">
      <c r="D37" s="178"/>
    </row>
    <row r="38" ht="12.75">
      <c r="D38" s="178"/>
    </row>
    <row r="39" ht="12.75">
      <c r="D39" s="178"/>
    </row>
    <row r="40" ht="12.75">
      <c r="D40" s="178"/>
    </row>
    <row r="41" ht="12.75">
      <c r="D41" s="178"/>
    </row>
    <row r="42" ht="12.75">
      <c r="D42" s="178"/>
    </row>
    <row r="43" ht="12.75">
      <c r="D43" s="178"/>
    </row>
    <row r="44" ht="12.75">
      <c r="D44" s="178"/>
    </row>
    <row r="45" ht="12.75">
      <c r="D45" s="178"/>
    </row>
    <row r="46" ht="12.75">
      <c r="D46" s="178"/>
    </row>
    <row r="47" ht="12.75">
      <c r="D47" s="178"/>
    </row>
    <row r="48" ht="12.75">
      <c r="D48" s="178"/>
    </row>
    <row r="49" ht="12.75">
      <c r="D49" s="178"/>
    </row>
    <row r="50" ht="12.75">
      <c r="D50" s="178"/>
    </row>
    <row r="51" ht="12.75">
      <c r="D51" s="178"/>
    </row>
    <row r="52" ht="12.75">
      <c r="D52" s="178"/>
    </row>
    <row r="53" ht="12.75">
      <c r="D53" s="178"/>
    </row>
    <row r="54" ht="12.75">
      <c r="D54" s="178"/>
    </row>
    <row r="55" ht="12.75">
      <c r="D55" s="178"/>
    </row>
    <row r="56" ht="12.75">
      <c r="D56" s="178"/>
    </row>
    <row r="57" ht="12.75">
      <c r="D57" s="178"/>
    </row>
    <row r="58" ht="12.75">
      <c r="D58" s="178"/>
    </row>
    <row r="59" ht="12.75">
      <c r="D59" s="178"/>
    </row>
    <row r="60" ht="12.75">
      <c r="D60" s="178"/>
    </row>
    <row r="61" ht="12.75">
      <c r="D61" s="178"/>
    </row>
    <row r="62" ht="12.75">
      <c r="D62" s="178"/>
    </row>
    <row r="63" ht="12.75">
      <c r="D63" s="178"/>
    </row>
    <row r="64" ht="12.75">
      <c r="D64" s="178"/>
    </row>
    <row r="65" ht="12.75">
      <c r="D65" s="178"/>
    </row>
    <row r="66" ht="12.75">
      <c r="D66" s="178"/>
    </row>
    <row r="67" ht="12.75">
      <c r="D67" s="178"/>
    </row>
    <row r="68" ht="12.75">
      <c r="D68" s="178"/>
    </row>
    <row r="69" ht="12.75">
      <c r="D69" s="178"/>
    </row>
    <row r="70" ht="12.75">
      <c r="D70" s="178"/>
    </row>
    <row r="71" ht="12.75">
      <c r="D71" s="178"/>
    </row>
    <row r="72" ht="12.75">
      <c r="D72" s="178"/>
    </row>
    <row r="73" ht="12.75">
      <c r="D73" s="178"/>
    </row>
    <row r="74" ht="12.75">
      <c r="D74" s="178"/>
    </row>
    <row r="75" ht="12.75">
      <c r="D75" s="178"/>
    </row>
    <row r="76" ht="12.75">
      <c r="D76" s="178"/>
    </row>
    <row r="77" ht="12.75">
      <c r="D77" s="178"/>
    </row>
    <row r="78" ht="12.75">
      <c r="D78" s="178"/>
    </row>
    <row r="79" ht="12.75">
      <c r="D79" s="178"/>
    </row>
    <row r="80" ht="12.75">
      <c r="D80" s="178"/>
    </row>
    <row r="81" ht="12.75">
      <c r="D81" s="178"/>
    </row>
    <row r="82" ht="12.75">
      <c r="D82" s="178"/>
    </row>
    <row r="83" ht="12.75">
      <c r="D83" s="178"/>
    </row>
    <row r="84" ht="12.75">
      <c r="D84" s="178"/>
    </row>
    <row r="85" ht="12.75">
      <c r="D85" s="178"/>
    </row>
    <row r="86" ht="12.75">
      <c r="D86" s="178"/>
    </row>
    <row r="87" ht="12.75">
      <c r="D87" s="178"/>
    </row>
    <row r="88" ht="12.75">
      <c r="D88" s="178"/>
    </row>
    <row r="89" ht="12.75">
      <c r="D89" s="178"/>
    </row>
    <row r="90" ht="12.75">
      <c r="D90" s="178"/>
    </row>
    <row r="91" ht="12.75">
      <c r="D91" s="178"/>
    </row>
    <row r="92" ht="12.75">
      <c r="D92" s="178"/>
    </row>
    <row r="93" ht="12.75">
      <c r="D93" s="178"/>
    </row>
    <row r="94" ht="12.75">
      <c r="D94" s="178"/>
    </row>
    <row r="95" ht="12.75">
      <c r="D95" s="178"/>
    </row>
    <row r="96" ht="12.75">
      <c r="D96" s="178"/>
    </row>
    <row r="97" ht="12.75">
      <c r="D97" s="178"/>
    </row>
    <row r="98" ht="12.75">
      <c r="D98" s="178"/>
    </row>
    <row r="99" ht="12.75">
      <c r="D99" s="178"/>
    </row>
    <row r="100" ht="12.75">
      <c r="D100" s="178"/>
    </row>
    <row r="101" ht="12.75">
      <c r="D101" s="178"/>
    </row>
    <row r="102" ht="12.75">
      <c r="D102" s="178"/>
    </row>
    <row r="103" ht="12.75">
      <c r="D103" s="178"/>
    </row>
    <row r="104" ht="12.75">
      <c r="D104" s="178"/>
    </row>
    <row r="105" ht="12.75">
      <c r="D105" s="178"/>
    </row>
    <row r="106" ht="12.75">
      <c r="D106" s="178"/>
    </row>
    <row r="107" ht="12.75">
      <c r="D107" s="178"/>
    </row>
    <row r="108" ht="12.75">
      <c r="D108" s="178"/>
    </row>
    <row r="109" ht="12.75">
      <c r="D109" s="178"/>
    </row>
    <row r="110" ht="12.75">
      <c r="D110" s="178"/>
    </row>
    <row r="111" ht="12.75">
      <c r="D111" s="178"/>
    </row>
    <row r="112" ht="12.75">
      <c r="D112" s="178"/>
    </row>
    <row r="113" ht="12.75">
      <c r="D113" s="178"/>
    </row>
    <row r="114" ht="12.75">
      <c r="D114" s="178"/>
    </row>
    <row r="115" ht="12.75">
      <c r="D115" s="178"/>
    </row>
    <row r="116" ht="12.75">
      <c r="D116" s="178"/>
    </row>
    <row r="117" ht="12.75">
      <c r="D117" s="178"/>
    </row>
    <row r="118" ht="12.75">
      <c r="D118" s="178"/>
    </row>
    <row r="119" ht="12.75">
      <c r="D119" s="178"/>
    </row>
    <row r="120" ht="12.75">
      <c r="D120" s="178"/>
    </row>
    <row r="121" ht="12.75">
      <c r="D121" s="178"/>
    </row>
    <row r="122" ht="12.75">
      <c r="D122" s="178"/>
    </row>
    <row r="123" ht="12.75">
      <c r="D123" s="178"/>
    </row>
    <row r="124" ht="12.75">
      <c r="D124" s="178"/>
    </row>
    <row r="125" ht="12.75">
      <c r="D125" s="178"/>
    </row>
    <row r="126" ht="12.75">
      <c r="D126" s="178"/>
    </row>
    <row r="127" ht="12.75">
      <c r="D127" s="178"/>
    </row>
    <row r="128" ht="12.75">
      <c r="D128" s="178"/>
    </row>
    <row r="129" ht="12.75">
      <c r="D129" s="178"/>
    </row>
    <row r="130" ht="12.75">
      <c r="D130" s="178"/>
    </row>
    <row r="131" ht="12.75">
      <c r="D131" s="178"/>
    </row>
    <row r="132" ht="12.75">
      <c r="D132" s="178"/>
    </row>
    <row r="133" ht="12.75">
      <c r="D133" s="178"/>
    </row>
    <row r="134" ht="12.75">
      <c r="D134" s="178"/>
    </row>
    <row r="135" ht="12.75">
      <c r="D135" s="178"/>
    </row>
    <row r="136" ht="12.75">
      <c r="D136" s="178"/>
    </row>
    <row r="137" ht="12.75">
      <c r="D137" s="178"/>
    </row>
    <row r="138" ht="12.75">
      <c r="D138" s="178"/>
    </row>
    <row r="139" ht="12.75">
      <c r="D139" s="178"/>
    </row>
    <row r="140" ht="12.75">
      <c r="D140" s="178"/>
    </row>
    <row r="141" ht="12.75">
      <c r="D141" s="178"/>
    </row>
    <row r="142" ht="12.75">
      <c r="D142" s="178"/>
    </row>
    <row r="143" ht="12.75">
      <c r="D143" s="178"/>
    </row>
    <row r="144" ht="12.75">
      <c r="D144" s="178"/>
    </row>
    <row r="145" ht="12.75">
      <c r="D145" s="178"/>
    </row>
    <row r="146" ht="12.75">
      <c r="D146" s="178"/>
    </row>
    <row r="147" ht="12.75">
      <c r="D147" s="178"/>
    </row>
    <row r="148" ht="12.75">
      <c r="D148" s="178"/>
    </row>
    <row r="149" ht="12.75">
      <c r="D149" s="178"/>
    </row>
    <row r="150" ht="12.75">
      <c r="D150" s="178"/>
    </row>
    <row r="151" ht="12.75">
      <c r="D151" s="178"/>
    </row>
    <row r="152" ht="12.75">
      <c r="D152" s="178"/>
    </row>
    <row r="153" ht="12.75">
      <c r="D153" s="178"/>
    </row>
    <row r="154" ht="12.75">
      <c r="D154" s="178"/>
    </row>
    <row r="155" ht="12.75">
      <c r="D155" s="178"/>
    </row>
    <row r="156" ht="12.75">
      <c r="D156" s="178"/>
    </row>
    <row r="157" ht="12.75">
      <c r="D157" s="178"/>
    </row>
    <row r="158" ht="12.75">
      <c r="D158" s="178"/>
    </row>
    <row r="159" ht="12.75">
      <c r="D159" s="178"/>
    </row>
    <row r="160" ht="12.75">
      <c r="D160" s="178"/>
    </row>
    <row r="161" ht="12.75">
      <c r="D161" s="178"/>
    </row>
    <row r="162" ht="12.75">
      <c r="D162" s="178"/>
    </row>
    <row r="163" ht="12.75">
      <c r="D163" s="178"/>
    </row>
    <row r="164" ht="12.75">
      <c r="D164" s="178"/>
    </row>
    <row r="165" ht="12.75">
      <c r="D165" s="178"/>
    </row>
    <row r="166" ht="12.75">
      <c r="D166" s="178"/>
    </row>
    <row r="167" ht="12.75">
      <c r="D167" s="178"/>
    </row>
    <row r="168" ht="12.75">
      <c r="D168" s="178"/>
    </row>
    <row r="169" ht="12.75">
      <c r="D169" s="178"/>
    </row>
    <row r="170" ht="12.75">
      <c r="D170" s="178"/>
    </row>
    <row r="171" ht="12.75">
      <c r="D171" s="178"/>
    </row>
    <row r="172" ht="12.75">
      <c r="D172" s="178"/>
    </row>
    <row r="173" ht="12.75">
      <c r="D173" s="178"/>
    </row>
    <row r="174" ht="12.75">
      <c r="D174" s="178"/>
    </row>
    <row r="175" ht="12.75">
      <c r="D175" s="178"/>
    </row>
    <row r="176" ht="12.75">
      <c r="D176" s="178"/>
    </row>
    <row r="177" ht="12.75">
      <c r="D177" s="178"/>
    </row>
    <row r="178" ht="12.75">
      <c r="D178" s="178"/>
    </row>
    <row r="179" ht="12.75">
      <c r="D179" s="178"/>
    </row>
    <row r="180" ht="12.75">
      <c r="D180" s="178"/>
    </row>
    <row r="181" ht="12.75">
      <c r="D181" s="178"/>
    </row>
    <row r="182" ht="12.75">
      <c r="D182" s="178"/>
    </row>
    <row r="183" ht="12.75">
      <c r="D183" s="178"/>
    </row>
    <row r="184" ht="12.75">
      <c r="D184" s="178"/>
    </row>
    <row r="185" ht="12.75">
      <c r="D185" s="178"/>
    </row>
    <row r="186" ht="12.75">
      <c r="D186" s="178"/>
    </row>
    <row r="187" ht="12.75">
      <c r="D187" s="178"/>
    </row>
    <row r="188" ht="12.75">
      <c r="D188" s="178"/>
    </row>
    <row r="189" ht="12.75">
      <c r="D189" s="178"/>
    </row>
    <row r="190" ht="12.75">
      <c r="D190" s="178"/>
    </row>
    <row r="191" ht="12.75">
      <c r="D191" s="178"/>
    </row>
    <row r="192" ht="12.75">
      <c r="D192" s="178"/>
    </row>
    <row r="193" ht="12.75">
      <c r="D193" s="178"/>
    </row>
    <row r="194" ht="12.75">
      <c r="D194" s="178"/>
    </row>
    <row r="195" ht="12.75">
      <c r="D195" s="178"/>
    </row>
    <row r="196" ht="12.75">
      <c r="D196" s="178"/>
    </row>
    <row r="197" ht="12.75">
      <c r="D197" s="178"/>
    </row>
    <row r="198" ht="12.75">
      <c r="D198" s="178"/>
    </row>
    <row r="199" ht="12.75">
      <c r="D199" s="178"/>
    </row>
    <row r="200" ht="12.75">
      <c r="D200" s="178"/>
    </row>
    <row r="201" ht="12.75">
      <c r="D201" s="178"/>
    </row>
    <row r="202" ht="12.75">
      <c r="D202" s="178"/>
    </row>
    <row r="203" ht="12.75">
      <c r="D203" s="178"/>
    </row>
    <row r="204" ht="12.75">
      <c r="D204" s="178"/>
    </row>
    <row r="205" ht="12.75">
      <c r="D205" s="178"/>
    </row>
    <row r="206" ht="12.75">
      <c r="D206" s="178"/>
    </row>
    <row r="207" ht="12.75">
      <c r="D207" s="178"/>
    </row>
    <row r="208" ht="12.75">
      <c r="D208" s="178"/>
    </row>
    <row r="209" ht="12.75">
      <c r="D209" s="178"/>
    </row>
    <row r="210" ht="12.75">
      <c r="D210" s="178"/>
    </row>
    <row r="211" ht="12.75">
      <c r="D211" s="178"/>
    </row>
    <row r="212" ht="12.75">
      <c r="D212" s="178"/>
    </row>
    <row r="213" ht="12.75">
      <c r="D213" s="178"/>
    </row>
    <row r="214" ht="12.75">
      <c r="D214" s="178"/>
    </row>
    <row r="215" ht="12.75">
      <c r="D215" s="178"/>
    </row>
    <row r="216" ht="12.75">
      <c r="D216" s="178"/>
    </row>
    <row r="217" ht="12.75">
      <c r="D217" s="178"/>
    </row>
    <row r="218" ht="12.75">
      <c r="D218" s="178"/>
    </row>
    <row r="219" ht="12.75">
      <c r="D219" s="178"/>
    </row>
    <row r="220" ht="12.75">
      <c r="D220" s="178"/>
    </row>
    <row r="221" ht="12.75">
      <c r="D221" s="178"/>
    </row>
    <row r="222" ht="12.75">
      <c r="D222" s="178"/>
    </row>
    <row r="223" ht="12.75">
      <c r="D223" s="178"/>
    </row>
    <row r="224" ht="12.75">
      <c r="D224" s="178"/>
    </row>
    <row r="225" ht="12.75">
      <c r="D225" s="178"/>
    </row>
    <row r="226" ht="12.75">
      <c r="D226" s="178"/>
    </row>
    <row r="227" ht="12.75">
      <c r="D227" s="178"/>
    </row>
    <row r="228" ht="12.75">
      <c r="D228" s="178"/>
    </row>
    <row r="229" ht="12.75">
      <c r="D229" s="178"/>
    </row>
    <row r="230" ht="12.75">
      <c r="D230" s="178"/>
    </row>
    <row r="231" ht="12.75">
      <c r="D231" s="178"/>
    </row>
    <row r="232" ht="12.75">
      <c r="D232" s="178"/>
    </row>
    <row r="233" ht="12.75">
      <c r="D233" s="178"/>
    </row>
    <row r="234" ht="12.75">
      <c r="D234" s="178"/>
    </row>
    <row r="235" ht="12.75">
      <c r="D235" s="178"/>
    </row>
    <row r="236" ht="12.75">
      <c r="D236" s="178"/>
    </row>
    <row r="237" ht="12.75">
      <c r="D237" s="178"/>
    </row>
    <row r="238" ht="12.75">
      <c r="D238" s="178"/>
    </row>
    <row r="239" ht="12.75">
      <c r="D239" s="178"/>
    </row>
    <row r="240" ht="12.75">
      <c r="D240" s="178"/>
    </row>
    <row r="241" ht="12.75">
      <c r="D241" s="178"/>
    </row>
    <row r="242" ht="12.75">
      <c r="D242" s="178"/>
    </row>
  </sheetData>
  <sheetProtection/>
  <mergeCells count="14">
    <mergeCell ref="A2:D2"/>
    <mergeCell ref="A3:D3"/>
    <mergeCell ref="A6:A7"/>
    <mergeCell ref="C10:D14"/>
    <mergeCell ref="A4:D4"/>
    <mergeCell ref="C6:C7"/>
    <mergeCell ref="B6:B7"/>
    <mergeCell ref="D6:D7"/>
    <mergeCell ref="C16:D21"/>
    <mergeCell ref="C23:D25"/>
    <mergeCell ref="A9:D9"/>
    <mergeCell ref="A30:D30"/>
    <mergeCell ref="A29:D29"/>
    <mergeCell ref="A27:B27"/>
  </mergeCells>
  <printOptions horizontalCentered="1"/>
  <pageMargins left="0.7874015748031497" right="0.2362204724409449" top="0.984251968503937" bottom="0.2362204724409449" header="0.5118110236220472" footer="0.1968503937007874"/>
  <pageSetup horizontalDpi="600" verticalDpi="600" orientation="portrait" paperSize="9" r:id="rId1"/>
  <colBreaks count="1" manualBreakCount="1">
    <brk id="4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PageLayoutView="0" workbookViewId="0" topLeftCell="A21">
      <selection activeCell="G25" sqref="G25"/>
    </sheetView>
  </sheetViews>
  <sheetFormatPr defaultColWidth="9.00390625" defaultRowHeight="12.75"/>
  <cols>
    <col min="1" max="1" width="6.375" style="0" bestFit="1" customWidth="1"/>
    <col min="2" max="2" width="46.00390625" style="0" customWidth="1"/>
    <col min="3" max="3" width="8.875" style="0" customWidth="1"/>
    <col min="4" max="4" width="10.75390625" style="0" customWidth="1"/>
    <col min="5" max="5" width="14.75390625" style="0" customWidth="1"/>
    <col min="6" max="6" width="33.75390625" style="0" customWidth="1"/>
  </cols>
  <sheetData>
    <row r="1" spans="1:6" ht="23.25" customHeight="1">
      <c r="A1" s="1160" t="s">
        <v>991</v>
      </c>
      <c r="B1" s="1160"/>
      <c r="C1" s="1160"/>
      <c r="D1" s="1160"/>
      <c r="E1" s="1160"/>
      <c r="F1" s="353"/>
    </row>
    <row r="2" spans="1:6" ht="5.25" customHeight="1">
      <c r="A2" s="546"/>
      <c r="B2" s="546"/>
      <c r="C2" s="546"/>
      <c r="D2" s="546"/>
      <c r="E2" s="546"/>
      <c r="F2" s="353"/>
    </row>
    <row r="3" spans="1:6" ht="23.25" customHeight="1">
      <c r="A3" s="1159" t="s">
        <v>992</v>
      </c>
      <c r="B3" s="1159"/>
      <c r="C3" s="1159"/>
      <c r="D3" s="1159"/>
      <c r="E3" s="1159"/>
      <c r="F3" s="353"/>
    </row>
    <row r="4" spans="1:6" ht="25.5">
      <c r="A4" s="543" t="s">
        <v>611</v>
      </c>
      <c r="B4" s="543" t="s">
        <v>989</v>
      </c>
      <c r="C4" s="543" t="s">
        <v>250</v>
      </c>
      <c r="D4" s="543" t="s">
        <v>988</v>
      </c>
      <c r="E4" s="543" t="s">
        <v>613</v>
      </c>
      <c r="F4" s="353"/>
    </row>
    <row r="5" spans="1:6" ht="18" customHeight="1">
      <c r="A5" s="539">
        <v>1</v>
      </c>
      <c r="B5" s="540" t="s">
        <v>844</v>
      </c>
      <c r="C5" s="537">
        <v>4</v>
      </c>
      <c r="D5" s="537">
        <v>3</v>
      </c>
      <c r="E5" s="541">
        <v>20000</v>
      </c>
      <c r="F5" s="353"/>
    </row>
    <row r="6" spans="1:6" ht="18" customHeight="1">
      <c r="A6" s="539">
        <f>A5+1</f>
        <v>2</v>
      </c>
      <c r="B6" s="540" t="s">
        <v>990</v>
      </c>
      <c r="C6" s="537">
        <v>4</v>
      </c>
      <c r="D6" s="537">
        <v>1</v>
      </c>
      <c r="E6" s="541">
        <v>1600</v>
      </c>
      <c r="F6" s="353"/>
    </row>
    <row r="7" spans="1:6" ht="18" customHeight="1">
      <c r="A7" s="539">
        <f>A6+1</f>
        <v>3</v>
      </c>
      <c r="B7" s="540" t="s">
        <v>856</v>
      </c>
      <c r="C7" s="537">
        <v>4</v>
      </c>
      <c r="D7" s="537">
        <v>1</v>
      </c>
      <c r="E7" s="541">
        <v>3000</v>
      </c>
      <c r="F7" s="353"/>
    </row>
    <row r="8" spans="1:6" ht="18" customHeight="1">
      <c r="A8" s="539">
        <f>A7+1</f>
        <v>4</v>
      </c>
      <c r="B8" s="540" t="s">
        <v>851</v>
      </c>
      <c r="C8" s="537">
        <v>4</v>
      </c>
      <c r="D8" s="537">
        <v>1</v>
      </c>
      <c r="E8" s="541">
        <v>1300</v>
      </c>
      <c r="F8" s="353"/>
    </row>
    <row r="9" spans="1:6" ht="18" customHeight="1">
      <c r="A9" s="539">
        <f>A8+1</f>
        <v>5</v>
      </c>
      <c r="B9" s="540" t="s">
        <v>858</v>
      </c>
      <c r="C9" s="537">
        <v>4</v>
      </c>
      <c r="D9" s="537">
        <v>3</v>
      </c>
      <c r="E9" s="541">
        <v>5000</v>
      </c>
      <c r="F9" s="353"/>
    </row>
    <row r="10" spans="1:6" ht="18" customHeight="1" thickBot="1">
      <c r="A10" s="547">
        <f>A9+1</f>
        <v>6</v>
      </c>
      <c r="B10" s="548" t="s">
        <v>854</v>
      </c>
      <c r="C10" s="549">
        <v>3</v>
      </c>
      <c r="D10" s="549">
        <v>1</v>
      </c>
      <c r="E10" s="550">
        <v>2000</v>
      </c>
      <c r="F10" s="353"/>
    </row>
    <row r="11" spans="1:6" ht="15.75">
      <c r="A11" s="542"/>
      <c r="B11" s="497"/>
      <c r="C11" s="497"/>
      <c r="D11" s="497"/>
      <c r="E11" s="555">
        <f>SUM(E5:E10)</f>
        <v>32900</v>
      </c>
      <c r="F11" s="353"/>
    </row>
    <row r="12" spans="1:6" s="83" customFormat="1" ht="24.75" customHeight="1">
      <c r="A12" s="1159" t="s">
        <v>993</v>
      </c>
      <c r="B12" s="1159"/>
      <c r="C12" s="1159"/>
      <c r="D12" s="1159"/>
      <c r="E12" s="1159"/>
      <c r="F12" s="353"/>
    </row>
    <row r="13" spans="1:6" ht="25.5" customHeight="1">
      <c r="A13" s="543" t="s">
        <v>611</v>
      </c>
      <c r="B13" s="543" t="s">
        <v>989</v>
      </c>
      <c r="C13" s="543" t="s">
        <v>250</v>
      </c>
      <c r="D13" s="543" t="s">
        <v>988</v>
      </c>
      <c r="E13" s="543" t="s">
        <v>613</v>
      </c>
      <c r="F13" s="353"/>
    </row>
    <row r="14" spans="1:6" s="497" customFormat="1" ht="30">
      <c r="A14" s="539">
        <v>1</v>
      </c>
      <c r="B14" s="540" t="s">
        <v>59</v>
      </c>
      <c r="C14" s="537">
        <v>4</v>
      </c>
      <c r="D14" s="537">
        <v>1</v>
      </c>
      <c r="E14" s="541">
        <v>65000</v>
      </c>
      <c r="F14" s="353"/>
    </row>
    <row r="15" spans="1:6" s="497" customFormat="1" ht="18" customHeight="1">
      <c r="A15" s="539">
        <f>A14+1</f>
        <v>2</v>
      </c>
      <c r="B15" s="540" t="s">
        <v>845</v>
      </c>
      <c r="C15" s="537">
        <v>3</v>
      </c>
      <c r="D15" s="537">
        <v>1</v>
      </c>
      <c r="E15" s="541">
        <v>20000</v>
      </c>
      <c r="F15" s="353"/>
    </row>
    <row r="16" spans="1:6" s="497" customFormat="1" ht="18" customHeight="1">
      <c r="A16" s="539">
        <f>A15+1</f>
        <v>3</v>
      </c>
      <c r="B16" s="540" t="s">
        <v>847</v>
      </c>
      <c r="C16" s="537">
        <v>3</v>
      </c>
      <c r="D16" s="537">
        <v>1</v>
      </c>
      <c r="E16" s="541">
        <v>20000</v>
      </c>
      <c r="F16" s="353"/>
    </row>
    <row r="17" spans="1:6" s="497" customFormat="1" ht="18" customHeight="1">
      <c r="A17" s="539">
        <f>A16+1</f>
        <v>4</v>
      </c>
      <c r="B17" s="540" t="s">
        <v>849</v>
      </c>
      <c r="C17" s="537">
        <v>3</v>
      </c>
      <c r="D17" s="537">
        <v>1</v>
      </c>
      <c r="E17" s="541">
        <v>10000</v>
      </c>
      <c r="F17" s="353"/>
    </row>
    <row r="18" spans="1:6" s="497" customFormat="1" ht="18" customHeight="1">
      <c r="A18" s="539">
        <f>A17+1</f>
        <v>5</v>
      </c>
      <c r="B18" s="540" t="s">
        <v>852</v>
      </c>
      <c r="C18" s="537">
        <v>3</v>
      </c>
      <c r="D18" s="537">
        <v>1</v>
      </c>
      <c r="E18" s="541">
        <v>5000</v>
      </c>
      <c r="F18" s="353"/>
    </row>
    <row r="19" spans="1:6" s="497" customFormat="1" ht="18" customHeight="1" thickBot="1">
      <c r="A19" s="547">
        <f>A18+1</f>
        <v>6</v>
      </c>
      <c r="B19" s="548" t="s">
        <v>854</v>
      </c>
      <c r="C19" s="549">
        <v>3</v>
      </c>
      <c r="D19" s="549">
        <v>1</v>
      </c>
      <c r="E19" s="550">
        <v>2000</v>
      </c>
      <c r="F19" s="353"/>
    </row>
    <row r="20" spans="1:6" s="497" customFormat="1" ht="15.75">
      <c r="A20" s="542"/>
      <c r="E20" s="555">
        <f>SUM(E14:E19)</f>
        <v>122000</v>
      </c>
      <c r="F20" s="353"/>
    </row>
    <row r="21" spans="1:6" s="83" customFormat="1" ht="24.75" customHeight="1">
      <c r="A21" s="1159" t="s">
        <v>994</v>
      </c>
      <c r="B21" s="1159"/>
      <c r="C21" s="1159"/>
      <c r="D21" s="1159"/>
      <c r="E21" s="1159"/>
      <c r="F21" s="353"/>
    </row>
    <row r="22" spans="1:6" ht="25.5">
      <c r="A22" s="543" t="s">
        <v>611</v>
      </c>
      <c r="B22" s="543" t="s">
        <v>989</v>
      </c>
      <c r="C22" s="543" t="s">
        <v>250</v>
      </c>
      <c r="D22" s="543" t="s">
        <v>988</v>
      </c>
      <c r="E22" s="543" t="s">
        <v>613</v>
      </c>
      <c r="F22" s="353"/>
    </row>
    <row r="23" spans="1:6" ht="14.25" customHeight="1">
      <c r="A23" s="539">
        <v>1</v>
      </c>
      <c r="B23" s="540" t="s">
        <v>837</v>
      </c>
      <c r="C23" s="537">
        <v>3</v>
      </c>
      <c r="D23" s="537">
        <v>1</v>
      </c>
      <c r="E23" s="541">
        <v>3404</v>
      </c>
      <c r="F23" s="353"/>
    </row>
    <row r="24" spans="1:6" ht="15">
      <c r="A24" s="539">
        <f aca="true" t="shared" si="0" ref="A24:A32">A23+1</f>
        <v>2</v>
      </c>
      <c r="B24" s="540" t="s">
        <v>846</v>
      </c>
      <c r="C24" s="537">
        <v>3</v>
      </c>
      <c r="D24" s="537">
        <v>1</v>
      </c>
      <c r="E24" s="541">
        <v>1897</v>
      </c>
      <c r="F24" s="353"/>
    </row>
    <row r="25" spans="1:6" ht="15">
      <c r="A25" s="539">
        <f t="shared" si="0"/>
        <v>3</v>
      </c>
      <c r="B25" s="540" t="s">
        <v>848</v>
      </c>
      <c r="C25" s="537">
        <v>3</v>
      </c>
      <c r="D25" s="537">
        <v>1</v>
      </c>
      <c r="E25" s="541">
        <v>2985</v>
      </c>
      <c r="F25" s="353"/>
    </row>
    <row r="26" spans="1:6" ht="15">
      <c r="A26" s="539">
        <f t="shared" si="0"/>
        <v>4</v>
      </c>
      <c r="B26" s="540" t="s">
        <v>850</v>
      </c>
      <c r="C26" s="537">
        <v>3</v>
      </c>
      <c r="D26" s="537">
        <v>2</v>
      </c>
      <c r="E26" s="541">
        <v>780</v>
      </c>
      <c r="F26" s="353"/>
    </row>
    <row r="27" spans="1:6" ht="15">
      <c r="A27" s="539">
        <f t="shared" si="0"/>
        <v>5</v>
      </c>
      <c r="B27" s="540" t="s">
        <v>838</v>
      </c>
      <c r="C27" s="537">
        <v>3</v>
      </c>
      <c r="D27" s="537">
        <v>1</v>
      </c>
      <c r="E27" s="541">
        <v>6850</v>
      </c>
      <c r="F27" s="353"/>
    </row>
    <row r="28" spans="1:6" ht="15">
      <c r="A28" s="539">
        <f t="shared" si="0"/>
        <v>6</v>
      </c>
      <c r="B28" s="540" t="s">
        <v>853</v>
      </c>
      <c r="C28" s="537">
        <v>3</v>
      </c>
      <c r="D28" s="537">
        <v>1</v>
      </c>
      <c r="E28" s="541">
        <v>564</v>
      </c>
      <c r="F28" s="353"/>
    </row>
    <row r="29" spans="1:6" ht="15">
      <c r="A29" s="539">
        <f t="shared" si="0"/>
        <v>7</v>
      </c>
      <c r="B29" s="540" t="s">
        <v>849</v>
      </c>
      <c r="C29" s="537">
        <v>3</v>
      </c>
      <c r="D29" s="537">
        <v>1</v>
      </c>
      <c r="E29" s="541">
        <v>10000</v>
      </c>
      <c r="F29" s="353"/>
    </row>
    <row r="30" spans="1:6" ht="15">
      <c r="A30" s="539">
        <f t="shared" si="0"/>
        <v>8</v>
      </c>
      <c r="B30" s="540" t="s">
        <v>854</v>
      </c>
      <c r="C30" s="537">
        <v>3</v>
      </c>
      <c r="D30" s="537">
        <v>1</v>
      </c>
      <c r="E30" s="541">
        <v>2000</v>
      </c>
      <c r="F30" s="353"/>
    </row>
    <row r="31" spans="1:6" ht="15">
      <c r="A31" s="539">
        <f t="shared" si="0"/>
        <v>9</v>
      </c>
      <c r="B31" s="540" t="s">
        <v>855</v>
      </c>
      <c r="C31" s="537">
        <v>4</v>
      </c>
      <c r="D31" s="537">
        <v>1</v>
      </c>
      <c r="E31" s="541">
        <v>4000</v>
      </c>
      <c r="F31" s="353"/>
    </row>
    <row r="32" spans="1:6" ht="15.75" thickBot="1">
      <c r="A32" s="547">
        <f t="shared" si="0"/>
        <v>10</v>
      </c>
      <c r="B32" s="1012" t="s">
        <v>857</v>
      </c>
      <c r="C32" s="549">
        <v>4</v>
      </c>
      <c r="D32" s="1013">
        <v>1</v>
      </c>
      <c r="E32" s="550">
        <v>1600</v>
      </c>
      <c r="F32" s="353"/>
    </row>
    <row r="33" spans="1:6" ht="15.75">
      <c r="A33" s="542"/>
      <c r="B33" s="497"/>
      <c r="C33" s="497"/>
      <c r="D33" s="497"/>
      <c r="E33" s="555">
        <f>SUM(E23:E32)</f>
        <v>34080</v>
      </c>
      <c r="F33" s="353"/>
    </row>
    <row r="34" spans="1:6" ht="6" customHeight="1">
      <c r="A34" s="156"/>
      <c r="F34" s="353"/>
    </row>
    <row r="35" spans="1:6" ht="15.75">
      <c r="A35" s="1156" t="s">
        <v>998</v>
      </c>
      <c r="B35" s="1157"/>
      <c r="C35" s="1157"/>
      <c r="D35" s="1158"/>
      <c r="E35" s="554">
        <f>E11+E20+E33</f>
        <v>188980</v>
      </c>
      <c r="F35" s="353"/>
    </row>
    <row r="36" spans="1:6" ht="6.75" customHeight="1">
      <c r="A36" s="156"/>
      <c r="F36" s="353"/>
    </row>
    <row r="37" spans="4:6" ht="15.75">
      <c r="D37" s="720" t="s">
        <v>255</v>
      </c>
      <c r="E37" s="556">
        <f>E10+E15+E16+E17+E18+E19+E23+E24+E25+E26+E27+E28+E29+E30</f>
        <v>87480</v>
      </c>
      <c r="F37" s="353"/>
    </row>
    <row r="38" spans="4:6" ht="15.75">
      <c r="D38" s="720" t="s">
        <v>256</v>
      </c>
      <c r="E38" s="556">
        <f>E5+E6+E7+E8+E9+E14+E31+E32</f>
        <v>101500</v>
      </c>
      <c r="F38" s="353"/>
    </row>
    <row r="39" ht="12.75">
      <c r="F39" s="353"/>
    </row>
    <row r="40" spans="1:6" ht="12.75">
      <c r="A40" t="s">
        <v>254</v>
      </c>
      <c r="F40" s="353"/>
    </row>
    <row r="41" spans="1:6" ht="12.75">
      <c r="A41" t="s">
        <v>257</v>
      </c>
      <c r="F41" s="353"/>
    </row>
    <row r="42" ht="12.75">
      <c r="F42" s="353"/>
    </row>
    <row r="43" ht="12.75">
      <c r="F43" s="353"/>
    </row>
    <row r="44" spans="1:6" ht="15">
      <c r="A44" s="542"/>
      <c r="B44" s="497"/>
      <c r="C44" s="497"/>
      <c r="D44" s="497"/>
      <c r="E44" s="497"/>
      <c r="F44" s="353"/>
    </row>
    <row r="45" spans="1:6" ht="15">
      <c r="A45" s="542"/>
      <c r="B45" s="497"/>
      <c r="C45" s="497"/>
      <c r="F45" s="353"/>
    </row>
    <row r="46" spans="1:6" ht="12.75">
      <c r="A46" s="156"/>
      <c r="F46" s="353"/>
    </row>
    <row r="47" spans="1:6" ht="12.75">
      <c r="A47" s="156"/>
      <c r="F47" s="353"/>
    </row>
    <row r="48" spans="1:6" ht="138.75" customHeight="1">
      <c r="A48" s="353"/>
      <c r="B48" s="353"/>
      <c r="C48" s="353"/>
      <c r="D48" s="353"/>
      <c r="E48" s="353"/>
      <c r="F48" s="353"/>
    </row>
    <row r="49" ht="12.75">
      <c r="A49" s="156"/>
    </row>
    <row r="50" ht="12.75">
      <c r="A50" s="156"/>
    </row>
    <row r="51" ht="12.75">
      <c r="A51" s="156"/>
    </row>
    <row r="52" ht="12.75">
      <c r="A52" s="156"/>
    </row>
    <row r="53" ht="12.75">
      <c r="A53" s="156"/>
    </row>
    <row r="54" ht="12.75">
      <c r="A54" s="156"/>
    </row>
    <row r="55" ht="12.75">
      <c r="A55" s="156"/>
    </row>
    <row r="56" ht="12.75">
      <c r="A56" s="156"/>
    </row>
    <row r="57" ht="12.75">
      <c r="A57" s="156"/>
    </row>
    <row r="58" ht="12.75">
      <c r="A58" s="156"/>
    </row>
    <row r="59" ht="12.75">
      <c r="A59" s="156"/>
    </row>
    <row r="60" ht="12.75">
      <c r="A60" s="156"/>
    </row>
    <row r="61" ht="12.75">
      <c r="A61" s="156"/>
    </row>
    <row r="62" ht="12.75">
      <c r="A62" s="156"/>
    </row>
    <row r="63" ht="12.75">
      <c r="A63" s="156"/>
    </row>
    <row r="64" ht="12.75">
      <c r="A64" s="156"/>
    </row>
    <row r="65" ht="12.75">
      <c r="A65" s="156"/>
    </row>
    <row r="66" ht="12.75">
      <c r="A66" s="156"/>
    </row>
    <row r="67" ht="12.75">
      <c r="A67" s="156"/>
    </row>
  </sheetData>
  <sheetProtection/>
  <mergeCells count="5">
    <mergeCell ref="A35:D35"/>
    <mergeCell ref="A12:E12"/>
    <mergeCell ref="A21:E21"/>
    <mergeCell ref="A1:E1"/>
    <mergeCell ref="A3:E3"/>
  </mergeCells>
  <printOptions horizontalCentered="1" verticalCentered="1"/>
  <pageMargins left="0.7874015748031497" right="0.15748031496062992" top="0.56" bottom="0.5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FinModel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Dnaumov</cp:lastModifiedBy>
  <cp:lastPrinted>2006-03-05T13:53:15Z</cp:lastPrinted>
  <dcterms:created xsi:type="dcterms:W3CDTF">1999-01-31T14:13:28Z</dcterms:created>
  <dcterms:modified xsi:type="dcterms:W3CDTF">2010-07-11T06:52:49Z</dcterms:modified>
  <cp:category/>
  <cp:version/>
  <cp:contentType/>
  <cp:contentStatus/>
</cp:coreProperties>
</file>