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40" yWindow="120" windowWidth="14940" windowHeight="9225"/>
  </bookViews>
  <sheets>
    <sheet name="Intro" sheetId="17" r:id="rId1"/>
    <sheet name="Inputs" sheetId="1" r:id="rId2"/>
    <sheet name="Investment" sheetId="2" r:id="rId3"/>
    <sheet name="Shares" sheetId="3" r:id="rId4"/>
    <sheet name="Conversion" sheetId="4" r:id="rId5"/>
    <sheet name="Prices" sheetId="5" r:id="rId6"/>
    <sheet name="Options" sheetId="6" r:id="rId7"/>
    <sheet name="Valuation" sheetId="7" r:id="rId8"/>
    <sheet name="Payout" sheetId="8" r:id="rId9"/>
    <sheet name="Formulas" sheetId="9" r:id="rId10"/>
    <sheet name="Boneyard" sheetId="10" state="hidden" r:id="rId11"/>
    <sheet name="(Other Computations)" sheetId="11" state="hidden" r:id="rId12"/>
    <sheet name="Labels" sheetId="12" r:id="rId13"/>
    <sheet name="ZZZ__FnCalls" sheetId="13" state="hidden" r:id="rId14"/>
    <sheet name="ZZZ_Ranges" sheetId="14" state="hidden" r:id="rId15"/>
    <sheet name="ZZZ_Import" sheetId="15" state="hidden" r:id="rId16"/>
  </sheets>
  <definedNames>
    <definedName name="Event_Date" localSheetId="0">#REF!</definedName>
    <definedName name="Event_Date">Investment!$B$209:$D$209</definedName>
    <definedName name="_xlnm.Print_Titles" localSheetId="0">Intro!$1:$4</definedName>
  </definedNames>
  <calcPr calcId="125725"/>
</workbook>
</file>

<file path=xl/calcChain.xml><?xml version="1.0" encoding="utf-8"?>
<calcChain xmlns="http://schemas.openxmlformats.org/spreadsheetml/2006/main">
  <c r="A1" i="1"/>
  <c r="A2"/>
  <c r="A3"/>
  <c r="A4"/>
  <c r="A5"/>
  <c r="A6"/>
  <c r="A7"/>
  <c r="A8"/>
  <c r="A11"/>
  <c r="A12"/>
  <c r="B13"/>
  <c r="C13"/>
  <c r="D13"/>
  <c r="A14"/>
  <c r="B14"/>
  <c r="C14"/>
  <c r="D14"/>
  <c r="A15"/>
  <c r="A19"/>
  <c r="A20"/>
  <c r="A21"/>
  <c r="A22"/>
  <c r="B22"/>
  <c r="A23"/>
  <c r="B23"/>
  <c r="A24"/>
  <c r="B24"/>
  <c r="A28"/>
  <c r="A29"/>
  <c r="B30"/>
  <c r="C30"/>
  <c r="D30"/>
  <c r="E30"/>
  <c r="A31"/>
  <c r="A32"/>
  <c r="B32"/>
  <c r="E32" s="1"/>
  <c r="C32"/>
  <c r="D32"/>
  <c r="A33"/>
  <c r="B33"/>
  <c r="C33"/>
  <c r="D33"/>
  <c r="D34" s="1"/>
  <c r="A34"/>
  <c r="C34"/>
  <c r="A36"/>
  <c r="A37"/>
  <c r="D37"/>
  <c r="A38"/>
  <c r="B38"/>
  <c r="B9" i="10" s="1"/>
  <c r="D38" i="1"/>
  <c r="E38"/>
  <c r="A39"/>
  <c r="B39"/>
  <c r="D39"/>
  <c r="E39"/>
  <c r="A41"/>
  <c r="A42"/>
  <c r="B42"/>
  <c r="A43"/>
  <c r="B43"/>
  <c r="A45"/>
  <c r="A46"/>
  <c r="D46"/>
  <c r="A47"/>
  <c r="B47"/>
  <c r="D47"/>
  <c r="E47"/>
  <c r="A48"/>
  <c r="B48"/>
  <c r="D48"/>
  <c r="E48"/>
  <c r="A50"/>
  <c r="D50"/>
  <c r="A51"/>
  <c r="B51"/>
  <c r="D51"/>
  <c r="E51"/>
  <c r="H21" i="10" s="1"/>
  <c r="A52" i="1"/>
  <c r="B52"/>
  <c r="D52"/>
  <c r="E52"/>
  <c r="A54"/>
  <c r="A55"/>
  <c r="D55"/>
  <c r="A56"/>
  <c r="B56"/>
  <c r="D56"/>
  <c r="E56"/>
  <c r="A57"/>
  <c r="B57"/>
  <c r="D57"/>
  <c r="E57"/>
  <c r="A58"/>
  <c r="B58"/>
  <c r="D58"/>
  <c r="E58"/>
  <c r="A62"/>
  <c r="A63"/>
  <c r="A64"/>
  <c r="A65"/>
  <c r="B66"/>
  <c r="C66"/>
  <c r="D66"/>
  <c r="E66"/>
  <c r="A67"/>
  <c r="A68"/>
  <c r="B68"/>
  <c r="C68"/>
  <c r="D68" s="1"/>
  <c r="A70"/>
  <c r="A71"/>
  <c r="B71"/>
  <c r="B72" s="1"/>
  <c r="C71"/>
  <c r="D71"/>
  <c r="D72"/>
  <c r="D52" i="10" s="1"/>
  <c r="A72" i="1"/>
  <c r="C72"/>
  <c r="A74"/>
  <c r="D74"/>
  <c r="A75"/>
  <c r="B75"/>
  <c r="D75"/>
  <c r="E75"/>
  <c r="A77"/>
  <c r="A78"/>
  <c r="D78"/>
  <c r="A79"/>
  <c r="B79"/>
  <c r="D79"/>
  <c r="E79"/>
  <c r="A81"/>
  <c r="D81"/>
  <c r="A82"/>
  <c r="B82"/>
  <c r="D82"/>
  <c r="E82"/>
  <c r="A84"/>
  <c r="A85"/>
  <c r="D85"/>
  <c r="A86"/>
  <c r="B86"/>
  <c r="E86" s="1"/>
  <c r="D86"/>
  <c r="A87"/>
  <c r="B87"/>
  <c r="E87" s="1"/>
  <c r="D87"/>
  <c r="A90"/>
  <c r="A91"/>
  <c r="A92"/>
  <c r="B94"/>
  <c r="C94"/>
  <c r="D94"/>
  <c r="E94"/>
  <c r="A95"/>
  <c r="B95"/>
  <c r="C95"/>
  <c r="D95"/>
  <c r="A97"/>
  <c r="B97"/>
  <c r="C97"/>
  <c r="D97"/>
  <c r="A99"/>
  <c r="B99"/>
  <c r="C99"/>
  <c r="D99"/>
  <c r="A101"/>
  <c r="A102"/>
  <c r="B102"/>
  <c r="D102"/>
  <c r="E102"/>
  <c r="A107"/>
  <c r="A108"/>
  <c r="A109"/>
  <c r="A110"/>
  <c r="B110"/>
  <c r="A111"/>
  <c r="B111"/>
  <c r="B113"/>
  <c r="C113"/>
  <c r="D113"/>
  <c r="E113"/>
  <c r="A114"/>
  <c r="A115"/>
  <c r="A116"/>
  <c r="A117"/>
  <c r="A119"/>
  <c r="A120"/>
  <c r="B120"/>
  <c r="B122"/>
  <c r="C120"/>
  <c r="D120"/>
  <c r="E120" s="1"/>
  <c r="E72" i="10" s="1"/>
  <c r="A121" i="1"/>
  <c r="B121"/>
  <c r="C121"/>
  <c r="D121"/>
  <c r="E121"/>
  <c r="A122"/>
  <c r="C122"/>
  <c r="A124"/>
  <c r="A125"/>
  <c r="D125"/>
  <c r="A126"/>
  <c r="B126"/>
  <c r="D126"/>
  <c r="E126"/>
  <c r="A127"/>
  <c r="B127"/>
  <c r="D127"/>
  <c r="E127"/>
  <c r="A129"/>
  <c r="D129"/>
  <c r="A130"/>
  <c r="B130"/>
  <c r="D130"/>
  <c r="E130"/>
  <c r="A131"/>
  <c r="B131"/>
  <c r="D131"/>
  <c r="E131"/>
  <c r="H17" i="10" s="1"/>
  <c r="A132" i="1"/>
  <c r="A134"/>
  <c r="A135"/>
  <c r="D135"/>
  <c r="A136"/>
  <c r="B136"/>
  <c r="D136"/>
  <c r="E136"/>
  <c r="A137"/>
  <c r="B137"/>
  <c r="D137"/>
  <c r="E137"/>
  <c r="A138"/>
  <c r="B138"/>
  <c r="D138"/>
  <c r="E138"/>
  <c r="A1" i="2"/>
  <c r="A2"/>
  <c r="A3"/>
  <c r="A4"/>
  <c r="A5"/>
  <c r="A6"/>
  <c r="A7"/>
  <c r="A8"/>
  <c r="A9"/>
  <c r="A10"/>
  <c r="C10"/>
  <c r="E10"/>
  <c r="G10"/>
  <c r="I10"/>
  <c r="A11"/>
  <c r="C11"/>
  <c r="E11"/>
  <c r="G11"/>
  <c r="I11"/>
  <c r="A12"/>
  <c r="C12"/>
  <c r="E12"/>
  <c r="G12"/>
  <c r="I12"/>
  <c r="A13"/>
  <c r="C13"/>
  <c r="E13"/>
  <c r="G13"/>
  <c r="I13"/>
  <c r="A14"/>
  <c r="C14"/>
  <c r="E14"/>
  <c r="G14"/>
  <c r="I14"/>
  <c r="A15"/>
  <c r="C15"/>
  <c r="E15"/>
  <c r="G15"/>
  <c r="I15"/>
  <c r="A16"/>
  <c r="C16"/>
  <c r="E16"/>
  <c r="G16"/>
  <c r="I16"/>
  <c r="A17"/>
  <c r="C17"/>
  <c r="E17"/>
  <c r="G17"/>
  <c r="I17"/>
  <c r="A18"/>
  <c r="C18"/>
  <c r="E18"/>
  <c r="G18"/>
  <c r="I18"/>
  <c r="A19"/>
  <c r="C19"/>
  <c r="E19"/>
  <c r="G19"/>
  <c r="I19"/>
  <c r="A20"/>
  <c r="C20"/>
  <c r="E20"/>
  <c r="G20"/>
  <c r="I20"/>
  <c r="A21"/>
  <c r="C21"/>
  <c r="E21"/>
  <c r="G21"/>
  <c r="I21"/>
  <c r="A22"/>
  <c r="C22"/>
  <c r="E22"/>
  <c r="G22"/>
  <c r="I22"/>
  <c r="A23"/>
  <c r="C23"/>
  <c r="E23"/>
  <c r="G23"/>
  <c r="I23"/>
  <c r="A24"/>
  <c r="C24"/>
  <c r="E24"/>
  <c r="G24"/>
  <c r="I24"/>
  <c r="A27"/>
  <c r="A28"/>
  <c r="A29"/>
  <c r="C29"/>
  <c r="E29"/>
  <c r="A30"/>
  <c r="C30"/>
  <c r="E30"/>
  <c r="A31"/>
  <c r="C31"/>
  <c r="E31"/>
  <c r="F31"/>
  <c r="A32"/>
  <c r="C32"/>
  <c r="E32"/>
  <c r="F32"/>
  <c r="A33"/>
  <c r="C33"/>
  <c r="E33"/>
  <c r="F33"/>
  <c r="A34"/>
  <c r="C34"/>
  <c r="E34"/>
  <c r="A35"/>
  <c r="C35"/>
  <c r="E35"/>
  <c r="F35"/>
  <c r="A36"/>
  <c r="C36"/>
  <c r="E36"/>
  <c r="F36"/>
  <c r="A37"/>
  <c r="C37"/>
  <c r="E37"/>
  <c r="F37"/>
  <c r="A38"/>
  <c r="C38"/>
  <c r="E38"/>
  <c r="F38"/>
  <c r="A39"/>
  <c r="C39"/>
  <c r="E39"/>
  <c r="A40"/>
  <c r="C40"/>
  <c r="E40"/>
  <c r="F40"/>
  <c r="A41"/>
  <c r="C41"/>
  <c r="E41"/>
  <c r="F41"/>
  <c r="A42"/>
  <c r="C42"/>
  <c r="E42"/>
  <c r="F42"/>
  <c r="A43"/>
  <c r="C43"/>
  <c r="E43"/>
  <c r="F43"/>
  <c r="A47"/>
  <c r="A48"/>
  <c r="B49"/>
  <c r="C49"/>
  <c r="D49"/>
  <c r="E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B98"/>
  <c r="C98"/>
  <c r="D98"/>
  <c r="D100"/>
  <c r="A99"/>
  <c r="B99"/>
  <c r="B100" s="1"/>
  <c r="C99"/>
  <c r="E99"/>
  <c r="D99"/>
  <c r="A100"/>
  <c r="C100"/>
  <c r="A101"/>
  <c r="A102"/>
  <c r="B102"/>
  <c r="C102"/>
  <c r="C103" s="1"/>
  <c r="D102"/>
  <c r="A103"/>
  <c r="A104"/>
  <c r="B104"/>
  <c r="C104"/>
  <c r="C181" s="1"/>
  <c r="D104"/>
  <c r="A105"/>
  <c r="A106"/>
  <c r="A107"/>
  <c r="A108"/>
  <c r="A109"/>
  <c r="A110"/>
  <c r="A111"/>
  <c r="A112"/>
  <c r="A113"/>
  <c r="A114"/>
  <c r="A115"/>
  <c r="A116"/>
  <c r="A117"/>
  <c r="A118"/>
  <c r="A119"/>
  <c r="A120"/>
  <c r="A121"/>
  <c r="A122"/>
  <c r="A123"/>
  <c r="A124"/>
  <c r="A125"/>
  <c r="A127"/>
  <c r="A128"/>
  <c r="A129"/>
  <c r="A130"/>
  <c r="B130"/>
  <c r="A131"/>
  <c r="B131"/>
  <c r="A132"/>
  <c r="A133"/>
  <c r="A134"/>
  <c r="B134"/>
  <c r="B135"/>
  <c r="A135"/>
  <c r="A136"/>
  <c r="B136"/>
  <c r="A137"/>
  <c r="B137"/>
  <c r="A138"/>
  <c r="A139"/>
  <c r="B139"/>
  <c r="A140"/>
  <c r="B140"/>
  <c r="A141"/>
  <c r="B141"/>
  <c r="A142"/>
  <c r="A143"/>
  <c r="A144"/>
  <c r="A145"/>
  <c r="A146"/>
  <c r="A147"/>
  <c r="A148"/>
  <c r="A149"/>
  <c r="A150"/>
  <c r="A151"/>
  <c r="A152"/>
  <c r="A153"/>
  <c r="A154"/>
  <c r="A155"/>
  <c r="A156"/>
  <c r="A157"/>
  <c r="A158"/>
  <c r="A159"/>
  <c r="A160"/>
  <c r="A161"/>
  <c r="A162"/>
  <c r="A163"/>
  <c r="A164"/>
  <c r="A165"/>
  <c r="A166"/>
  <c r="A167"/>
  <c r="A168"/>
  <c r="A169"/>
  <c r="A170"/>
  <c r="A171"/>
  <c r="A172"/>
  <c r="A173"/>
  <c r="A174"/>
  <c r="A175"/>
  <c r="B175"/>
  <c r="C175"/>
  <c r="C177" s="1"/>
  <c r="D175"/>
  <c r="A176"/>
  <c r="B176"/>
  <c r="E176" s="1"/>
  <c r="C176"/>
  <c r="D176"/>
  <c r="D177" s="1"/>
  <c r="A177"/>
  <c r="B177"/>
  <c r="A178"/>
  <c r="A179"/>
  <c r="C179"/>
  <c r="A180"/>
  <c r="C180"/>
  <c r="A181"/>
  <c r="D181"/>
  <c r="A182"/>
  <c r="A183"/>
  <c r="A184"/>
  <c r="A185"/>
  <c r="A186"/>
  <c r="A187"/>
  <c r="A188"/>
  <c r="A189"/>
  <c r="A190"/>
  <c r="A191"/>
  <c r="A192"/>
  <c r="A193"/>
  <c r="A194"/>
  <c r="A195"/>
  <c r="A196"/>
  <c r="A197"/>
  <c r="A198"/>
  <c r="A199"/>
  <c r="A200"/>
  <c r="A201"/>
  <c r="A202"/>
  <c r="A206"/>
  <c r="A207"/>
  <c r="B208"/>
  <c r="C208"/>
  <c r="D208"/>
  <c r="A209"/>
  <c r="C209"/>
  <c r="C7" i="3" s="1"/>
  <c r="D209" i="2"/>
  <c r="D74" i="4" s="1"/>
  <c r="A211" i="2"/>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8"/>
  <c r="A289"/>
  <c r="A290"/>
  <c r="A291"/>
  <c r="A292"/>
  <c r="A293"/>
  <c r="A294"/>
  <c r="A295"/>
  <c r="A296"/>
  <c r="C296"/>
  <c r="D296"/>
  <c r="A297"/>
  <c r="A298"/>
  <c r="A299"/>
  <c r="A300"/>
  <c r="A301"/>
  <c r="A302"/>
  <c r="A1" i="3"/>
  <c r="A2"/>
  <c r="A3"/>
  <c r="A4"/>
  <c r="A5"/>
  <c r="B6"/>
  <c r="C6"/>
  <c r="D6"/>
  <c r="A7"/>
  <c r="D7"/>
  <c r="A9"/>
  <c r="A10"/>
  <c r="B11"/>
  <c r="C11"/>
  <c r="D11"/>
  <c r="A12"/>
  <c r="A13"/>
  <c r="A14"/>
  <c r="A15"/>
  <c r="A16"/>
  <c r="A17"/>
  <c r="A18"/>
  <c r="A19"/>
  <c r="A20"/>
  <c r="A21"/>
  <c r="A22"/>
  <c r="A25"/>
  <c r="A26"/>
  <c r="B27"/>
  <c r="C27"/>
  <c r="D27"/>
  <c r="E27"/>
  <c r="A28"/>
  <c r="A29"/>
  <c r="A30"/>
  <c r="B30"/>
  <c r="C30"/>
  <c r="D30"/>
  <c r="D32"/>
  <c r="A31"/>
  <c r="B31"/>
  <c r="B32" s="1"/>
  <c r="B113" s="1"/>
  <c r="C31"/>
  <c r="D52"/>
  <c r="D31"/>
  <c r="A32"/>
  <c r="A33"/>
  <c r="A34"/>
  <c r="A35"/>
  <c r="A36"/>
  <c r="A37"/>
  <c r="A38"/>
  <c r="A39"/>
  <c r="A40"/>
  <c r="A41"/>
  <c r="A42"/>
  <c r="A45"/>
  <c r="A46"/>
  <c r="B47"/>
  <c r="C47"/>
  <c r="D47"/>
  <c r="E47"/>
  <c r="A48"/>
  <c r="A49"/>
  <c r="A50"/>
  <c r="A51"/>
  <c r="C51"/>
  <c r="A52"/>
  <c r="A53"/>
  <c r="A54"/>
  <c r="A55"/>
  <c r="A56"/>
  <c r="A57"/>
  <c r="A58"/>
  <c r="A59"/>
  <c r="A60"/>
  <c r="A61"/>
  <c r="A62"/>
  <c r="A63"/>
  <c r="A64"/>
  <c r="A65"/>
  <c r="A66"/>
  <c r="B66"/>
  <c r="C66"/>
  <c r="D66"/>
  <c r="A67"/>
  <c r="B67"/>
  <c r="C67"/>
  <c r="C68" s="1"/>
  <c r="D67"/>
  <c r="E67"/>
  <c r="A68"/>
  <c r="D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B111"/>
  <c r="D111"/>
  <c r="A112"/>
  <c r="C112"/>
  <c r="D112"/>
  <c r="A113"/>
  <c r="A114"/>
  <c r="A115"/>
  <c r="A116"/>
  <c r="A117"/>
  <c r="A118"/>
  <c r="A119"/>
  <c r="A120"/>
  <c r="A121"/>
  <c r="A122"/>
  <c r="A123"/>
  <c r="A1" i="4"/>
  <c r="A2"/>
  <c r="A3"/>
  <c r="A4"/>
  <c r="A5"/>
  <c r="B6"/>
  <c r="C6"/>
  <c r="D6"/>
  <c r="A7"/>
  <c r="C7"/>
  <c r="D7"/>
  <c r="A9"/>
  <c r="A10"/>
  <c r="A11"/>
  <c r="A12"/>
  <c r="A13"/>
  <c r="A14"/>
  <c r="A15"/>
  <c r="A16"/>
  <c r="A17"/>
  <c r="A18"/>
  <c r="A19"/>
  <c r="A20"/>
  <c r="A21"/>
  <c r="A22"/>
  <c r="A23"/>
  <c r="A24"/>
  <c r="A26"/>
  <c r="A27"/>
  <c r="A28"/>
  <c r="A29"/>
  <c r="A30"/>
  <c r="A31"/>
  <c r="A32"/>
  <c r="A33"/>
  <c r="A34"/>
  <c r="A35"/>
  <c r="A36"/>
  <c r="A37"/>
  <c r="A39"/>
  <c r="A40"/>
  <c r="B41"/>
  <c r="C41"/>
  <c r="D41"/>
  <c r="A42"/>
  <c r="A43"/>
  <c r="A44"/>
  <c r="A45"/>
  <c r="A46"/>
  <c r="A47"/>
  <c r="A48"/>
  <c r="B48"/>
  <c r="B32" s="1"/>
  <c r="BB9" i="15" s="1"/>
  <c r="C48" i="4"/>
  <c r="C32" s="1"/>
  <c r="D48"/>
  <c r="D32" s="1"/>
  <c r="BF9" i="15" s="1"/>
  <c r="A49" i="4"/>
  <c r="A50"/>
  <c r="A51"/>
  <c r="A52"/>
  <c r="A53"/>
  <c r="A55"/>
  <c r="A56"/>
  <c r="B57"/>
  <c r="C57"/>
  <c r="D57"/>
  <c r="A58"/>
  <c r="A59"/>
  <c r="A60"/>
  <c r="A61"/>
  <c r="A62"/>
  <c r="A63"/>
  <c r="A64"/>
  <c r="A65"/>
  <c r="B65"/>
  <c r="C65"/>
  <c r="D65"/>
  <c r="D133" i="11" s="1"/>
  <c r="A66" i="4"/>
  <c r="A67"/>
  <c r="C67"/>
  <c r="A68"/>
  <c r="A69"/>
  <c r="A70"/>
  <c r="A71"/>
  <c r="B71"/>
  <c r="C71"/>
  <c r="D71"/>
  <c r="D139" i="11" s="1"/>
  <c r="A72" i="4"/>
  <c r="A73"/>
  <c r="A74"/>
  <c r="C74"/>
  <c r="A75"/>
  <c r="A76"/>
  <c r="A77"/>
  <c r="A78"/>
  <c r="B78"/>
  <c r="C78"/>
  <c r="C146" i="11" s="1"/>
  <c r="D78" i="4"/>
  <c r="A79"/>
  <c r="A80"/>
  <c r="B80"/>
  <c r="C80"/>
  <c r="D80"/>
  <c r="A81"/>
  <c r="B81"/>
  <c r="C81"/>
  <c r="D81"/>
  <c r="A82"/>
  <c r="B82"/>
  <c r="C82"/>
  <c r="D82"/>
  <c r="A83"/>
  <c r="B83"/>
  <c r="C83"/>
  <c r="D83"/>
  <c r="A84"/>
  <c r="B84"/>
  <c r="C84"/>
  <c r="D84"/>
  <c r="A85"/>
  <c r="A86"/>
  <c r="A87"/>
  <c r="A88"/>
  <c r="B88"/>
  <c r="C88"/>
  <c r="D88"/>
  <c r="A89"/>
  <c r="B89"/>
  <c r="C89"/>
  <c r="D89"/>
  <c r="A90"/>
  <c r="A91"/>
  <c r="A92"/>
  <c r="A93"/>
  <c r="C93"/>
  <c r="D93"/>
  <c r="D161" i="11" s="1"/>
  <c r="A94" i="4"/>
  <c r="A95"/>
  <c r="B95"/>
  <c r="C95"/>
  <c r="D95"/>
  <c r="A96"/>
  <c r="B96"/>
  <c r="C96"/>
  <c r="D96"/>
  <c r="A97"/>
  <c r="A98"/>
  <c r="A99"/>
  <c r="D99"/>
  <c r="A100"/>
  <c r="A101"/>
  <c r="B101"/>
  <c r="C101"/>
  <c r="D101"/>
  <c r="A102"/>
  <c r="B102"/>
  <c r="C102"/>
  <c r="D102"/>
  <c r="A103"/>
  <c r="A104"/>
  <c r="A105"/>
  <c r="A106"/>
  <c r="A107"/>
  <c r="A108"/>
  <c r="A109"/>
  <c r="A110"/>
  <c r="A111"/>
  <c r="A112"/>
  <c r="A113"/>
  <c r="A114"/>
  <c r="A1" i="5"/>
  <c r="A2"/>
  <c r="A3"/>
  <c r="A4"/>
  <c r="A5"/>
  <c r="B6"/>
  <c r="C6"/>
  <c r="D6"/>
  <c r="A7"/>
  <c r="C7"/>
  <c r="D7"/>
  <c r="A9"/>
  <c r="A10"/>
  <c r="B11"/>
  <c r="C11"/>
  <c r="D11"/>
  <c r="E11"/>
  <c r="A12"/>
  <c r="A13"/>
  <c r="A14"/>
  <c r="A15"/>
  <c r="A16"/>
  <c r="A17"/>
  <c r="A18"/>
  <c r="A19"/>
  <c r="A20"/>
  <c r="A21"/>
  <c r="A22"/>
  <c r="A23"/>
  <c r="A24"/>
  <c r="A25"/>
  <c r="A26"/>
  <c r="A29"/>
  <c r="A30"/>
  <c r="A31"/>
  <c r="B32"/>
  <c r="C32"/>
  <c r="D32"/>
  <c r="E32"/>
  <c r="A33"/>
  <c r="A34"/>
  <c r="A35"/>
  <c r="A36"/>
  <c r="A38"/>
  <c r="A39"/>
  <c r="A40"/>
  <c r="A41"/>
  <c r="A43"/>
  <c r="A44"/>
  <c r="A46"/>
  <c r="A47"/>
  <c r="A48"/>
  <c r="A49"/>
  <c r="A50"/>
  <c r="A1" i="6"/>
  <c r="A2"/>
  <c r="A3"/>
  <c r="A4"/>
  <c r="A5"/>
  <c r="B6"/>
  <c r="C6"/>
  <c r="D6"/>
  <c r="A7"/>
  <c r="D7"/>
  <c r="A9"/>
  <c r="A10"/>
  <c r="B11"/>
  <c r="C11"/>
  <c r="D11"/>
  <c r="E11"/>
  <c r="A12"/>
  <c r="A13"/>
  <c r="B13"/>
  <c r="A14"/>
  <c r="A15"/>
  <c r="A16"/>
  <c r="A17"/>
  <c r="A19"/>
  <c r="A22"/>
  <c r="A23"/>
  <c r="B24"/>
  <c r="C24"/>
  <c r="D24"/>
  <c r="E24"/>
  <c r="A25"/>
  <c r="A26"/>
  <c r="A27"/>
  <c r="B27"/>
  <c r="A28"/>
  <c r="B28"/>
  <c r="B46" i="11" s="1"/>
  <c r="A29" i="6"/>
  <c r="A30"/>
  <c r="A31"/>
  <c r="A32"/>
  <c r="A33"/>
  <c r="A34"/>
  <c r="A35"/>
  <c r="A36"/>
  <c r="A37"/>
  <c r="A38"/>
  <c r="A39"/>
  <c r="A40"/>
  <c r="A41"/>
  <c r="A42"/>
  <c r="A43"/>
  <c r="A44"/>
  <c r="A45"/>
  <c r="A47"/>
  <c r="A48"/>
  <c r="A49"/>
  <c r="A50"/>
  <c r="A1" i="7"/>
  <c r="A2"/>
  <c r="A3"/>
  <c r="A4"/>
  <c r="A5"/>
  <c r="B6"/>
  <c r="C6"/>
  <c r="D6"/>
  <c r="A7"/>
  <c r="C7"/>
  <c r="D7"/>
  <c r="A9"/>
  <c r="A10"/>
  <c r="A12"/>
  <c r="A13"/>
  <c r="A15"/>
  <c r="A16"/>
  <c r="A18"/>
  <c r="A19"/>
  <c r="A21"/>
  <c r="A22"/>
  <c r="A1" i="8"/>
  <c r="A2"/>
  <c r="A3"/>
  <c r="A4"/>
  <c r="A5"/>
  <c r="B6"/>
  <c r="C6"/>
  <c r="D6"/>
  <c r="E6"/>
  <c r="G6"/>
  <c r="H6"/>
  <c r="I6"/>
  <c r="J6"/>
  <c r="L6"/>
  <c r="M6"/>
  <c r="N6"/>
  <c r="O6"/>
  <c r="Q6"/>
  <c r="R6"/>
  <c r="S6"/>
  <c r="T6"/>
  <c r="A7"/>
  <c r="F7"/>
  <c r="K7"/>
  <c r="P7"/>
  <c r="A8"/>
  <c r="F8"/>
  <c r="K8"/>
  <c r="P8"/>
  <c r="A9"/>
  <c r="E9"/>
  <c r="F9"/>
  <c r="K9"/>
  <c r="O9"/>
  <c r="P9"/>
  <c r="T9"/>
  <c r="E60" s="1"/>
  <c r="A10"/>
  <c r="E10"/>
  <c r="F10"/>
  <c r="K10"/>
  <c r="O10"/>
  <c r="E45" s="1"/>
  <c r="P10"/>
  <c r="T10"/>
  <c r="A11"/>
  <c r="B11"/>
  <c r="B30" s="1"/>
  <c r="C11"/>
  <c r="D11"/>
  <c r="D30" s="1"/>
  <c r="E11"/>
  <c r="E30" s="1"/>
  <c r="F11"/>
  <c r="K11"/>
  <c r="O11"/>
  <c r="P11"/>
  <c r="T11"/>
  <c r="E62" s="1"/>
  <c r="A12"/>
  <c r="F12"/>
  <c r="K12"/>
  <c r="P12"/>
  <c r="A13"/>
  <c r="E13"/>
  <c r="F13"/>
  <c r="K13"/>
  <c r="O13"/>
  <c r="E48" s="1"/>
  <c r="P13"/>
  <c r="T13"/>
  <c r="A14"/>
  <c r="B14"/>
  <c r="B33" s="1"/>
  <c r="C14"/>
  <c r="D14"/>
  <c r="E14"/>
  <c r="E33" s="1"/>
  <c r="F14"/>
  <c r="K14"/>
  <c r="O14"/>
  <c r="P14"/>
  <c r="T14"/>
  <c r="E65" s="1"/>
  <c r="A15"/>
  <c r="E15"/>
  <c r="E34" s="1"/>
  <c r="F15"/>
  <c r="K15"/>
  <c r="O15"/>
  <c r="P15"/>
  <c r="T15"/>
  <c r="A16"/>
  <c r="B16"/>
  <c r="C16"/>
  <c r="C35" s="1"/>
  <c r="D16"/>
  <c r="D35" s="1"/>
  <c r="E16"/>
  <c r="E35" s="1"/>
  <c r="F16"/>
  <c r="K16"/>
  <c r="O16"/>
  <c r="P16"/>
  <c r="T16"/>
  <c r="E67" s="1"/>
  <c r="A17"/>
  <c r="F17"/>
  <c r="K17"/>
  <c r="P17"/>
  <c r="A18"/>
  <c r="B18"/>
  <c r="B37"/>
  <c r="C18"/>
  <c r="D18"/>
  <c r="E18"/>
  <c r="E37" s="1"/>
  <c r="F18"/>
  <c r="K18"/>
  <c r="O18"/>
  <c r="P18"/>
  <c r="T18"/>
  <c r="E69" s="1"/>
  <c r="A19"/>
  <c r="B19"/>
  <c r="B38"/>
  <c r="C19"/>
  <c r="D19"/>
  <c r="E19"/>
  <c r="E38" s="1"/>
  <c r="F19"/>
  <c r="K19"/>
  <c r="O19"/>
  <c r="E54" s="1"/>
  <c r="P19"/>
  <c r="T19"/>
  <c r="A20"/>
  <c r="B20"/>
  <c r="B39" s="1"/>
  <c r="C20"/>
  <c r="C39" s="1"/>
  <c r="D20"/>
  <c r="E20"/>
  <c r="E39" s="1"/>
  <c r="F20"/>
  <c r="K20"/>
  <c r="O20"/>
  <c r="P20"/>
  <c r="T20"/>
  <c r="E71" s="1"/>
  <c r="A21"/>
  <c r="B21"/>
  <c r="C21"/>
  <c r="D21"/>
  <c r="D40" s="1"/>
  <c r="E21"/>
  <c r="F21"/>
  <c r="K21"/>
  <c r="O21"/>
  <c r="E56" s="1"/>
  <c r="P21"/>
  <c r="T21"/>
  <c r="A23"/>
  <c r="A24"/>
  <c r="B25"/>
  <c r="C25"/>
  <c r="D25"/>
  <c r="E25"/>
  <c r="A26"/>
  <c r="A27"/>
  <c r="A28"/>
  <c r="E28"/>
  <c r="A29"/>
  <c r="E29"/>
  <c r="A30"/>
  <c r="C30"/>
  <c r="A31"/>
  <c r="A32"/>
  <c r="E32"/>
  <c r="A33"/>
  <c r="C33"/>
  <c r="D33"/>
  <c r="A34"/>
  <c r="A35"/>
  <c r="B35"/>
  <c r="A36"/>
  <c r="A37"/>
  <c r="C37"/>
  <c r="D37"/>
  <c r="A38"/>
  <c r="C38"/>
  <c r="D38"/>
  <c r="A39"/>
  <c r="D39"/>
  <c r="A40"/>
  <c r="B40"/>
  <c r="C40"/>
  <c r="E40"/>
  <c r="A42"/>
  <c r="A43"/>
  <c r="A44"/>
  <c r="E44"/>
  <c r="A45"/>
  <c r="A46"/>
  <c r="E46"/>
  <c r="A47"/>
  <c r="A48"/>
  <c r="A49"/>
  <c r="E49"/>
  <c r="A50"/>
  <c r="E50"/>
  <c r="A51"/>
  <c r="E51"/>
  <c r="A52"/>
  <c r="A53"/>
  <c r="E53"/>
  <c r="A54"/>
  <c r="A55"/>
  <c r="E55"/>
  <c r="A56"/>
  <c r="A58"/>
  <c r="A59"/>
  <c r="A60"/>
  <c r="A61"/>
  <c r="E61"/>
  <c r="A62"/>
  <c r="A63"/>
  <c r="A64"/>
  <c r="E64"/>
  <c r="A65"/>
  <c r="A66"/>
  <c r="E66"/>
  <c r="A67"/>
  <c r="A68"/>
  <c r="A69"/>
  <c r="A70"/>
  <c r="E70"/>
  <c r="A71"/>
  <c r="A72"/>
  <c r="E72"/>
  <c r="A74"/>
  <c r="A75"/>
  <c r="A76"/>
  <c r="A77"/>
  <c r="A78"/>
  <c r="A80"/>
  <c r="A81"/>
  <c r="A82"/>
  <c r="A83"/>
  <c r="A1" i="9"/>
  <c r="A2"/>
  <c r="A3"/>
  <c r="A4"/>
  <c r="B6"/>
  <c r="B8"/>
  <c r="B10"/>
  <c r="B21"/>
  <c r="B23"/>
  <c r="B25"/>
  <c r="B27"/>
  <c r="B29"/>
  <c r="B31"/>
  <c r="B33"/>
  <c r="B35"/>
  <c r="B38"/>
  <c r="B41"/>
  <c r="B43"/>
  <c r="B45"/>
  <c r="B47"/>
  <c r="B49"/>
  <c r="B55"/>
  <c r="B57"/>
  <c r="B59"/>
  <c r="B65"/>
  <c r="B67"/>
  <c r="B74"/>
  <c r="B83"/>
  <c r="B85"/>
  <c r="B87"/>
  <c r="B90"/>
  <c r="B92"/>
  <c r="B94"/>
  <c r="B96"/>
  <c r="B98"/>
  <c r="B100"/>
  <c r="B102"/>
  <c r="B108"/>
  <c r="B110"/>
  <c r="B113"/>
  <c r="B117"/>
  <c r="B119"/>
  <c r="B121"/>
  <c r="B123"/>
  <c r="B130"/>
  <c r="B132"/>
  <c r="B135"/>
  <c r="B137"/>
  <c r="B140"/>
  <c r="B146"/>
  <c r="B150"/>
  <c r="B152"/>
  <c r="B158"/>
  <c r="B160"/>
  <c r="B162"/>
  <c r="B164"/>
  <c r="B168"/>
  <c r="B170"/>
  <c r="B180"/>
  <c r="B182"/>
  <c r="A1" i="10"/>
  <c r="A2"/>
  <c r="A3"/>
  <c r="A4"/>
  <c r="A5"/>
  <c r="A6"/>
  <c r="A7"/>
  <c r="C7"/>
  <c r="E7"/>
  <c r="G7"/>
  <c r="A8"/>
  <c r="C8"/>
  <c r="E8"/>
  <c r="G8"/>
  <c r="A9"/>
  <c r="C9"/>
  <c r="E9"/>
  <c r="F9"/>
  <c r="G9"/>
  <c r="H9"/>
  <c r="A10"/>
  <c r="C10"/>
  <c r="E10"/>
  <c r="F10"/>
  <c r="G10"/>
  <c r="H10"/>
  <c r="A11"/>
  <c r="C11"/>
  <c r="E11"/>
  <c r="G11"/>
  <c r="A12"/>
  <c r="B12"/>
  <c r="C12"/>
  <c r="D12"/>
  <c r="E12"/>
  <c r="G12"/>
  <c r="A13"/>
  <c r="B13"/>
  <c r="C13"/>
  <c r="D13"/>
  <c r="E13"/>
  <c r="F13"/>
  <c r="BF10" i="15" s="1"/>
  <c r="G13" i="10"/>
  <c r="H13"/>
  <c r="A14"/>
  <c r="B14"/>
  <c r="C14"/>
  <c r="D14"/>
  <c r="E14"/>
  <c r="F14"/>
  <c r="G14"/>
  <c r="H14"/>
  <c r="A15"/>
  <c r="C15"/>
  <c r="E15"/>
  <c r="G15"/>
  <c r="A16"/>
  <c r="B16"/>
  <c r="AX10" i="15" s="1"/>
  <c r="C16" i="10"/>
  <c r="D16"/>
  <c r="E16"/>
  <c r="F16"/>
  <c r="G16"/>
  <c r="A17"/>
  <c r="B17"/>
  <c r="C17"/>
  <c r="D17"/>
  <c r="E17"/>
  <c r="F17"/>
  <c r="G17"/>
  <c r="A19"/>
  <c r="C19"/>
  <c r="E19"/>
  <c r="G19"/>
  <c r="A20"/>
  <c r="C20"/>
  <c r="E20"/>
  <c r="G20"/>
  <c r="A21"/>
  <c r="B21"/>
  <c r="C21"/>
  <c r="D21"/>
  <c r="E21"/>
  <c r="F21"/>
  <c r="G21"/>
  <c r="A22"/>
  <c r="B22"/>
  <c r="C22"/>
  <c r="D22"/>
  <c r="E22"/>
  <c r="F22"/>
  <c r="G22"/>
  <c r="A23"/>
  <c r="C23"/>
  <c r="E23"/>
  <c r="G23"/>
  <c r="A24"/>
  <c r="B24"/>
  <c r="C24"/>
  <c r="D24"/>
  <c r="E24"/>
  <c r="F24"/>
  <c r="G24"/>
  <c r="H24"/>
  <c r="A25"/>
  <c r="B25"/>
  <c r="B11" i="15" s="1"/>
  <c r="C25" i="10"/>
  <c r="D25"/>
  <c r="E25"/>
  <c r="F25"/>
  <c r="G25"/>
  <c r="H25"/>
  <c r="A26"/>
  <c r="B26"/>
  <c r="C26"/>
  <c r="D26"/>
  <c r="E26"/>
  <c r="F26"/>
  <c r="G26"/>
  <c r="H26"/>
  <c r="A27"/>
  <c r="C27"/>
  <c r="E27"/>
  <c r="G27"/>
  <c r="A28"/>
  <c r="B28"/>
  <c r="C28"/>
  <c r="D28"/>
  <c r="E28"/>
  <c r="F28"/>
  <c r="G28"/>
  <c r="H28"/>
  <c r="A29"/>
  <c r="B29"/>
  <c r="C29"/>
  <c r="D29"/>
  <c r="E29"/>
  <c r="F29"/>
  <c r="G29"/>
  <c r="H29"/>
  <c r="B32"/>
  <c r="C32"/>
  <c r="D32"/>
  <c r="A33"/>
  <c r="A34"/>
  <c r="A35"/>
  <c r="B35"/>
  <c r="C35" s="1"/>
  <c r="A36"/>
  <c r="B36"/>
  <c r="C36" s="1"/>
  <c r="A37"/>
  <c r="A38"/>
  <c r="B38"/>
  <c r="C38"/>
  <c r="A39"/>
  <c r="B39"/>
  <c r="C39"/>
  <c r="D39" s="1"/>
  <c r="AZ11" i="15" s="1"/>
  <c r="A40" i="10"/>
  <c r="B40"/>
  <c r="C40" s="1"/>
  <c r="A41"/>
  <c r="A42"/>
  <c r="B42"/>
  <c r="C42" s="1"/>
  <c r="A43"/>
  <c r="B43"/>
  <c r="A45"/>
  <c r="A46"/>
  <c r="A47"/>
  <c r="B47"/>
  <c r="C47"/>
  <c r="D47"/>
  <c r="A48"/>
  <c r="B48"/>
  <c r="C48"/>
  <c r="A49"/>
  <c r="C49"/>
  <c r="A50"/>
  <c r="A51"/>
  <c r="B51"/>
  <c r="C51"/>
  <c r="D51"/>
  <c r="A52"/>
  <c r="B52"/>
  <c r="C52"/>
  <c r="A53"/>
  <c r="B53"/>
  <c r="C53"/>
  <c r="D53"/>
  <c r="A54"/>
  <c r="B54"/>
  <c r="B227" i="11" s="1"/>
  <c r="C54" i="10"/>
  <c r="D54"/>
  <c r="A55"/>
  <c r="A56"/>
  <c r="B56"/>
  <c r="C56"/>
  <c r="D56"/>
  <c r="A57"/>
  <c r="B57"/>
  <c r="C57"/>
  <c r="D57"/>
  <c r="D230" i="11" s="1"/>
  <c r="A58" i="10"/>
  <c r="A59"/>
  <c r="A61"/>
  <c r="A62"/>
  <c r="A63"/>
  <c r="B63"/>
  <c r="C63"/>
  <c r="D63"/>
  <c r="A64"/>
  <c r="B64"/>
  <c r="C64"/>
  <c r="D64"/>
  <c r="D65" s="1"/>
  <c r="A65"/>
  <c r="B65"/>
  <c r="A66"/>
  <c r="A67"/>
  <c r="B67"/>
  <c r="B68" s="1"/>
  <c r="C67"/>
  <c r="D67"/>
  <c r="D68"/>
  <c r="A68"/>
  <c r="C68"/>
  <c r="A69"/>
  <c r="B69"/>
  <c r="E69" s="1"/>
  <c r="C69"/>
  <c r="D69"/>
  <c r="A70"/>
  <c r="B70"/>
  <c r="C70"/>
  <c r="D70"/>
  <c r="E70"/>
  <c r="A71"/>
  <c r="A72"/>
  <c r="B72"/>
  <c r="C72"/>
  <c r="D72"/>
  <c r="A73"/>
  <c r="B73"/>
  <c r="C73"/>
  <c r="D73"/>
  <c r="E73"/>
  <c r="A74"/>
  <c r="B74"/>
  <c r="C74"/>
  <c r="A75"/>
  <c r="A78"/>
  <c r="A79"/>
  <c r="A80"/>
  <c r="B80"/>
  <c r="A81"/>
  <c r="B81"/>
  <c r="A82"/>
  <c r="B82"/>
  <c r="A83"/>
  <c r="A84"/>
  <c r="B84"/>
  <c r="A85"/>
  <c r="A86"/>
  <c r="A87"/>
  <c r="B87"/>
  <c r="A88"/>
  <c r="A89"/>
  <c r="B89"/>
  <c r="A90"/>
  <c r="B90"/>
  <c r="A91"/>
  <c r="B91"/>
  <c r="A92"/>
  <c r="A1" i="11"/>
  <c r="A2"/>
  <c r="A3"/>
  <c r="A4"/>
  <c r="A5"/>
  <c r="A6"/>
  <c r="A7"/>
  <c r="B7"/>
  <c r="A8"/>
  <c r="B8"/>
  <c r="A9"/>
  <c r="A10"/>
  <c r="B10"/>
  <c r="A11"/>
  <c r="B11"/>
  <c r="A12"/>
  <c r="B12"/>
  <c r="A13"/>
  <c r="A14"/>
  <c r="A15"/>
  <c r="A16"/>
  <c r="A17"/>
  <c r="B17"/>
  <c r="C17"/>
  <c r="D17"/>
  <c r="E17"/>
  <c r="A18"/>
  <c r="A19"/>
  <c r="B19"/>
  <c r="B14" i="5" s="1"/>
  <c r="N10" i="15" s="1"/>
  <c r="C19" i="11"/>
  <c r="D19"/>
  <c r="E19"/>
  <c r="A20"/>
  <c r="B20"/>
  <c r="C20"/>
  <c r="C15" i="5"/>
  <c r="D20" i="11"/>
  <c r="D15" i="5" s="1"/>
  <c r="X10" i="15" s="1"/>
  <c r="E20" i="11"/>
  <c r="A21"/>
  <c r="E21"/>
  <c r="A22"/>
  <c r="A23"/>
  <c r="E23"/>
  <c r="A24"/>
  <c r="E24"/>
  <c r="A25"/>
  <c r="E25"/>
  <c r="A26"/>
  <c r="E26"/>
  <c r="A27"/>
  <c r="A28"/>
  <c r="E28"/>
  <c r="A29"/>
  <c r="E29"/>
  <c r="A30"/>
  <c r="E30"/>
  <c r="A31"/>
  <c r="E31"/>
  <c r="A32"/>
  <c r="A33"/>
  <c r="B33"/>
  <c r="C33"/>
  <c r="D33"/>
  <c r="E33"/>
  <c r="A34"/>
  <c r="A35"/>
  <c r="A36"/>
  <c r="B36"/>
  <c r="A37"/>
  <c r="B37"/>
  <c r="A38"/>
  <c r="A39"/>
  <c r="A40"/>
  <c r="B40"/>
  <c r="B41" s="1"/>
  <c r="A41"/>
  <c r="A42"/>
  <c r="B42"/>
  <c r="A43"/>
  <c r="A44"/>
  <c r="A45"/>
  <c r="B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B110"/>
  <c r="C110"/>
  <c r="D110"/>
  <c r="E110"/>
  <c r="A111"/>
  <c r="A112"/>
  <c r="B112"/>
  <c r="B51"/>
  <c r="C112"/>
  <c r="D112"/>
  <c r="D51" s="1"/>
  <c r="A113"/>
  <c r="B113"/>
  <c r="C113"/>
  <c r="C52"/>
  <c r="D113"/>
  <c r="A114"/>
  <c r="A115"/>
  <c r="A116"/>
  <c r="B116"/>
  <c r="B55"/>
  <c r="B56" s="1"/>
  <c r="C116"/>
  <c r="D116"/>
  <c r="A117"/>
  <c r="B117"/>
  <c r="B14" i="13" s="1"/>
  <c r="A118" i="11"/>
  <c r="B118"/>
  <c r="B57" s="1"/>
  <c r="B72" s="1"/>
  <c r="C118"/>
  <c r="D118"/>
  <c r="D57" s="1"/>
  <c r="A119"/>
  <c r="B119"/>
  <c r="C119"/>
  <c r="D119"/>
  <c r="A120"/>
  <c r="A121"/>
  <c r="B121"/>
  <c r="C121"/>
  <c r="D121"/>
  <c r="A122"/>
  <c r="B122"/>
  <c r="C122"/>
  <c r="D122"/>
  <c r="D76" i="3" s="1"/>
  <c r="A123" i="11"/>
  <c r="A124"/>
  <c r="A125"/>
  <c r="A126"/>
  <c r="B126"/>
  <c r="C126"/>
  <c r="D126"/>
  <c r="A127"/>
  <c r="A128"/>
  <c r="A129"/>
  <c r="A130"/>
  <c r="A131"/>
  <c r="A132"/>
  <c r="A133"/>
  <c r="B133"/>
  <c r="C133"/>
  <c r="A134"/>
  <c r="A135"/>
  <c r="A136"/>
  <c r="A137"/>
  <c r="A138"/>
  <c r="A139"/>
  <c r="B139"/>
  <c r="C139"/>
  <c r="A140"/>
  <c r="A141"/>
  <c r="A142"/>
  <c r="C142"/>
  <c r="D142"/>
  <c r="A143"/>
  <c r="A144"/>
  <c r="A145"/>
  <c r="A146"/>
  <c r="B146"/>
  <c r="D146"/>
  <c r="A147"/>
  <c r="A148"/>
  <c r="B148"/>
  <c r="C148"/>
  <c r="D148"/>
  <c r="A149"/>
  <c r="B149"/>
  <c r="C149"/>
  <c r="D149"/>
  <c r="A150"/>
  <c r="B150"/>
  <c r="C150"/>
  <c r="D150"/>
  <c r="A151"/>
  <c r="B151"/>
  <c r="C151"/>
  <c r="D151"/>
  <c r="A152"/>
  <c r="B152"/>
  <c r="C152"/>
  <c r="D152"/>
  <c r="A153"/>
  <c r="A154"/>
  <c r="A155"/>
  <c r="A156"/>
  <c r="B156"/>
  <c r="C156"/>
  <c r="D156"/>
  <c r="A157"/>
  <c r="B157"/>
  <c r="C157"/>
  <c r="D157"/>
  <c r="A158"/>
  <c r="A159"/>
  <c r="A160"/>
  <c r="A161"/>
  <c r="C161"/>
  <c r="A162"/>
  <c r="A163"/>
  <c r="B163"/>
  <c r="C163"/>
  <c r="D163"/>
  <c r="A164"/>
  <c r="B164"/>
  <c r="C164"/>
  <c r="D164"/>
  <c r="A165"/>
  <c r="A166"/>
  <c r="A167"/>
  <c r="D167"/>
  <c r="A168"/>
  <c r="A169"/>
  <c r="B169"/>
  <c r="C169"/>
  <c r="D169"/>
  <c r="A170"/>
  <c r="B170"/>
  <c r="C170"/>
  <c r="D170"/>
  <c r="A171"/>
  <c r="A172"/>
  <c r="A173"/>
  <c r="B173"/>
  <c r="C173"/>
  <c r="D173"/>
  <c r="E173"/>
  <c r="A174"/>
  <c r="A175"/>
  <c r="A176"/>
  <c r="A177"/>
  <c r="A178"/>
  <c r="A179"/>
  <c r="A180"/>
  <c r="A181"/>
  <c r="A182"/>
  <c r="A183"/>
  <c r="A184"/>
  <c r="A185"/>
  <c r="A186"/>
  <c r="A187"/>
  <c r="A188"/>
  <c r="A189"/>
  <c r="B189"/>
  <c r="C189"/>
  <c r="D189"/>
  <c r="A190"/>
  <c r="A191"/>
  <c r="A192"/>
  <c r="A193"/>
  <c r="A194"/>
  <c r="A195"/>
  <c r="A196"/>
  <c r="A197"/>
  <c r="B197"/>
  <c r="A198"/>
  <c r="B198"/>
  <c r="A199"/>
  <c r="B199"/>
  <c r="A200"/>
  <c r="B200"/>
  <c r="A201"/>
  <c r="A202"/>
  <c r="B202"/>
  <c r="C202"/>
  <c r="D202"/>
  <c r="E202"/>
  <c r="A203"/>
  <c r="A204"/>
  <c r="A205"/>
  <c r="A206"/>
  <c r="A207"/>
  <c r="A208"/>
  <c r="A209"/>
  <c r="A210"/>
  <c r="A211"/>
  <c r="A212"/>
  <c r="A213"/>
  <c r="A214"/>
  <c r="A215"/>
  <c r="A216"/>
  <c r="A217"/>
  <c r="A218"/>
  <c r="B218"/>
  <c r="C218"/>
  <c r="D218"/>
  <c r="E218"/>
  <c r="A219"/>
  <c r="A220"/>
  <c r="B220"/>
  <c r="C220"/>
  <c r="C229" i="2" s="1"/>
  <c r="C68" s="1"/>
  <c r="C145" s="1"/>
  <c r="D220" i="11"/>
  <c r="A221"/>
  <c r="B221"/>
  <c r="C221"/>
  <c r="A222"/>
  <c r="A223"/>
  <c r="A224"/>
  <c r="B224"/>
  <c r="B225"/>
  <c r="C224"/>
  <c r="C233" i="2"/>
  <c r="D224" i="11"/>
  <c r="D233" i="2"/>
  <c r="A225" i="11"/>
  <c r="C225"/>
  <c r="D225"/>
  <c r="A226"/>
  <c r="B226"/>
  <c r="B235" i="2"/>
  <c r="C226" i="11"/>
  <c r="C235" i="2"/>
  <c r="C74" s="1"/>
  <c r="C151" s="1"/>
  <c r="D226" i="11"/>
  <c r="D235" i="2"/>
  <c r="D74" s="1"/>
  <c r="D151" s="1"/>
  <c r="A227" i="11"/>
  <c r="C227"/>
  <c r="D227"/>
  <c r="A228"/>
  <c r="A229"/>
  <c r="B229"/>
  <c r="C229"/>
  <c r="A230"/>
  <c r="B230"/>
  <c r="A231"/>
  <c r="A232"/>
  <c r="A233"/>
  <c r="A234"/>
  <c r="B234"/>
  <c r="C234"/>
  <c r="D234"/>
  <c r="E234"/>
  <c r="A235"/>
  <c r="A236"/>
  <c r="A237"/>
  <c r="A238"/>
  <c r="A239"/>
  <c r="A240"/>
  <c r="A241"/>
  <c r="A242"/>
  <c r="A243"/>
  <c r="A244"/>
  <c r="A245"/>
  <c r="A246"/>
  <c r="A247"/>
  <c r="A248"/>
  <c r="A249"/>
  <c r="A250"/>
  <c r="B250"/>
  <c r="C250"/>
  <c r="D250"/>
  <c r="A251"/>
  <c r="A252"/>
  <c r="A253"/>
  <c r="A254"/>
  <c r="A255"/>
  <c r="A256"/>
  <c r="A257"/>
  <c r="A258"/>
  <c r="A259"/>
  <c r="A260"/>
  <c r="A261"/>
  <c r="A262"/>
  <c r="B262"/>
  <c r="C262"/>
  <c r="D262"/>
  <c r="E262"/>
  <c r="A263"/>
  <c r="A264"/>
  <c r="E264"/>
  <c r="A265"/>
  <c r="E265"/>
  <c r="A266"/>
  <c r="E266"/>
  <c r="A267"/>
  <c r="A268"/>
  <c r="E268"/>
  <c r="A269"/>
  <c r="E269"/>
  <c r="A270"/>
  <c r="E270"/>
  <c r="A271"/>
  <c r="E271"/>
  <c r="A272"/>
  <c r="A273"/>
  <c r="E273"/>
  <c r="A274"/>
  <c r="E274"/>
  <c r="A275"/>
  <c r="E275"/>
  <c r="A276"/>
  <c r="E276"/>
  <c r="A277"/>
  <c r="A278"/>
  <c r="B278"/>
  <c r="C278"/>
  <c r="D278"/>
  <c r="E278"/>
  <c r="A279"/>
  <c r="A280"/>
  <c r="B280"/>
  <c r="B282" s="1"/>
  <c r="C280"/>
  <c r="D280"/>
  <c r="D282" s="1"/>
  <c r="E280"/>
  <c r="A281"/>
  <c r="B281"/>
  <c r="C281"/>
  <c r="E281"/>
  <c r="D281"/>
  <c r="A282"/>
  <c r="C282"/>
  <c r="A283"/>
  <c r="A284"/>
  <c r="B284"/>
  <c r="B285"/>
  <c r="C284"/>
  <c r="D284"/>
  <c r="D285" s="1"/>
  <c r="A285"/>
  <c r="C285"/>
  <c r="A286"/>
  <c r="B286"/>
  <c r="C286"/>
  <c r="D286"/>
  <c r="A287"/>
  <c r="A288"/>
  <c r="A289"/>
  <c r="A290"/>
  <c r="A291"/>
  <c r="A292"/>
  <c r="A293"/>
  <c r="A294"/>
  <c r="B294"/>
  <c r="C294"/>
  <c r="D294"/>
  <c r="E294"/>
  <c r="A295"/>
  <c r="A296"/>
  <c r="E296"/>
  <c r="A297"/>
  <c r="E297"/>
  <c r="A298"/>
  <c r="E298"/>
  <c r="A299"/>
  <c r="A300"/>
  <c r="E300"/>
  <c r="A301"/>
  <c r="E301"/>
  <c r="A302"/>
  <c r="E302"/>
  <c r="A303"/>
  <c r="E303"/>
  <c r="A304"/>
  <c r="A305"/>
  <c r="E305"/>
  <c r="A306"/>
  <c r="E306"/>
  <c r="A307"/>
  <c r="E307"/>
  <c r="A308"/>
  <c r="E308"/>
  <c r="A309"/>
  <c r="A310"/>
  <c r="B310"/>
  <c r="C310"/>
  <c r="D310"/>
  <c r="E310"/>
  <c r="A311"/>
  <c r="A312"/>
  <c r="E312"/>
  <c r="A313"/>
  <c r="E313"/>
  <c r="A314"/>
  <c r="E314"/>
  <c r="A315"/>
  <c r="A316"/>
  <c r="E316"/>
  <c r="A317"/>
  <c r="E317"/>
  <c r="A318"/>
  <c r="E318"/>
  <c r="A319"/>
  <c r="E319"/>
  <c r="A320"/>
  <c r="A321"/>
  <c r="E321"/>
  <c r="A322"/>
  <c r="E322"/>
  <c r="A323"/>
  <c r="E323"/>
  <c r="A324"/>
  <c r="E324"/>
  <c r="A1" i="12"/>
  <c r="A2"/>
  <c r="A3"/>
  <c r="A1" i="13"/>
  <c r="A2"/>
  <c r="A3"/>
  <c r="C14"/>
  <c r="D18"/>
  <c r="C22"/>
  <c r="D22"/>
  <c r="B1" i="15"/>
  <c r="D1"/>
  <c r="F1"/>
  <c r="H1"/>
  <c r="J1"/>
  <c r="L1"/>
  <c r="N1"/>
  <c r="P1"/>
  <c r="R1"/>
  <c r="T1"/>
  <c r="V1"/>
  <c r="X1"/>
  <c r="Z1"/>
  <c r="AB1"/>
  <c r="AD1"/>
  <c r="AF1"/>
  <c r="AH1"/>
  <c r="AJ1"/>
  <c r="AL1"/>
  <c r="AN1"/>
  <c r="AP1"/>
  <c r="AR1"/>
  <c r="AT1"/>
  <c r="AV1"/>
  <c r="AX1"/>
  <c r="AZ1"/>
  <c r="BB1"/>
  <c r="BD1"/>
  <c r="BF1"/>
  <c r="BH1"/>
  <c r="BJ1"/>
  <c r="BL1"/>
  <c r="B2"/>
  <c r="D2"/>
  <c r="F2"/>
  <c r="H2"/>
  <c r="J2"/>
  <c r="L2"/>
  <c r="N2"/>
  <c r="P2"/>
  <c r="R2"/>
  <c r="T2"/>
  <c r="V2"/>
  <c r="X2"/>
  <c r="Z2"/>
  <c r="AB2"/>
  <c r="AD2"/>
  <c r="AF2"/>
  <c r="AH2"/>
  <c r="AJ2"/>
  <c r="AL2"/>
  <c r="AN2"/>
  <c r="AP2"/>
  <c r="AR2"/>
  <c r="AT2"/>
  <c r="AV2"/>
  <c r="AX2"/>
  <c r="AZ2"/>
  <c r="BB2"/>
  <c r="BD2"/>
  <c r="BF2"/>
  <c r="BH2"/>
  <c r="BJ2"/>
  <c r="BL2"/>
  <c r="B3"/>
  <c r="D3"/>
  <c r="F3"/>
  <c r="H3"/>
  <c r="J3"/>
  <c r="L3"/>
  <c r="N3"/>
  <c r="P3"/>
  <c r="R3"/>
  <c r="T3"/>
  <c r="V3"/>
  <c r="X3"/>
  <c r="Z3"/>
  <c r="AB3"/>
  <c r="AD3"/>
  <c r="AF3"/>
  <c r="AH3"/>
  <c r="AJ3"/>
  <c r="AL3"/>
  <c r="AN3"/>
  <c r="AP3"/>
  <c r="AR3"/>
  <c r="AT3"/>
  <c r="AV3"/>
  <c r="AX3"/>
  <c r="AZ3"/>
  <c r="BB3"/>
  <c r="BD3"/>
  <c r="BF3"/>
  <c r="BH3"/>
  <c r="BJ3"/>
  <c r="BL3"/>
  <c r="B4"/>
  <c r="D4"/>
  <c r="F4"/>
  <c r="H4"/>
  <c r="J4"/>
  <c r="L4"/>
  <c r="N4"/>
  <c r="P4"/>
  <c r="R4"/>
  <c r="T4"/>
  <c r="V4"/>
  <c r="X4"/>
  <c r="Z4"/>
  <c r="AB4"/>
  <c r="AD4"/>
  <c r="AF4"/>
  <c r="AH4"/>
  <c r="AJ4"/>
  <c r="AL4"/>
  <c r="AN4"/>
  <c r="AP4"/>
  <c r="AR4"/>
  <c r="AT4"/>
  <c r="AV4"/>
  <c r="AX4"/>
  <c r="AZ4"/>
  <c r="BB4"/>
  <c r="BD4"/>
  <c r="BF4"/>
  <c r="BH4"/>
  <c r="BJ4"/>
  <c r="BL4"/>
  <c r="B5"/>
  <c r="D5"/>
  <c r="F5"/>
  <c r="H5"/>
  <c r="J5"/>
  <c r="L5"/>
  <c r="N5"/>
  <c r="P5"/>
  <c r="R5"/>
  <c r="T5"/>
  <c r="V5"/>
  <c r="X5"/>
  <c r="Z5"/>
  <c r="AB5"/>
  <c r="AD5"/>
  <c r="AF5"/>
  <c r="AH5"/>
  <c r="AJ5"/>
  <c r="AL5"/>
  <c r="AN5"/>
  <c r="AP5"/>
  <c r="AR5"/>
  <c r="AT5"/>
  <c r="AV5"/>
  <c r="AX5"/>
  <c r="AZ5"/>
  <c r="BB5"/>
  <c r="BD5"/>
  <c r="BF5"/>
  <c r="BH5"/>
  <c r="BJ5"/>
  <c r="B6"/>
  <c r="D6"/>
  <c r="F6"/>
  <c r="H6"/>
  <c r="J6"/>
  <c r="L6"/>
  <c r="N6"/>
  <c r="P6"/>
  <c r="R6"/>
  <c r="T6"/>
  <c r="V6"/>
  <c r="X6"/>
  <c r="Z6"/>
  <c r="AB6"/>
  <c r="AD6"/>
  <c r="B7"/>
  <c r="F7"/>
  <c r="H7"/>
  <c r="J7"/>
  <c r="L7"/>
  <c r="N7"/>
  <c r="P7"/>
  <c r="R7"/>
  <c r="T7"/>
  <c r="V7"/>
  <c r="X7"/>
  <c r="AF7"/>
  <c r="AH7"/>
  <c r="AJ7"/>
  <c r="AL7"/>
  <c r="AP7"/>
  <c r="AR7"/>
  <c r="AT7"/>
  <c r="AV7"/>
  <c r="AX7"/>
  <c r="AZ7"/>
  <c r="BD7"/>
  <c r="BF7"/>
  <c r="BH7"/>
  <c r="BJ7"/>
  <c r="BL7"/>
  <c r="B8"/>
  <c r="F8"/>
  <c r="H8"/>
  <c r="J8"/>
  <c r="L8"/>
  <c r="N8"/>
  <c r="P8"/>
  <c r="T8"/>
  <c r="V8"/>
  <c r="X8"/>
  <c r="Z8"/>
  <c r="AB8"/>
  <c r="AD8"/>
  <c r="AF8"/>
  <c r="AJ8"/>
  <c r="AL8"/>
  <c r="AP8"/>
  <c r="AR8"/>
  <c r="AT8"/>
  <c r="AX8"/>
  <c r="AZ8"/>
  <c r="B9"/>
  <c r="D9"/>
  <c r="F9"/>
  <c r="H9"/>
  <c r="J9"/>
  <c r="L9"/>
  <c r="N9"/>
  <c r="P9"/>
  <c r="R9"/>
  <c r="T9"/>
  <c r="X9"/>
  <c r="Z9"/>
  <c r="AB9"/>
  <c r="AD9"/>
  <c r="AF9"/>
  <c r="AH9"/>
  <c r="V10"/>
  <c r="AR10"/>
  <c r="AT10"/>
  <c r="AV10"/>
  <c r="AZ10"/>
  <c r="BB10"/>
  <c r="BD10"/>
  <c r="BH10"/>
  <c r="BJ10"/>
  <c r="BL10"/>
  <c r="D11"/>
  <c r="F11"/>
  <c r="H11"/>
  <c r="J11"/>
  <c r="L11"/>
  <c r="N11"/>
  <c r="P11"/>
  <c r="R11"/>
  <c r="T11"/>
  <c r="V11"/>
  <c r="X11"/>
  <c r="Z11"/>
  <c r="AB11"/>
  <c r="AD11"/>
  <c r="AF11"/>
  <c r="AH11"/>
  <c r="AJ11"/>
  <c r="AP11"/>
  <c r="AV11"/>
  <c r="AX11"/>
  <c r="BB11"/>
  <c r="BH11"/>
  <c r="J12"/>
  <c r="L12"/>
  <c r="N12"/>
  <c r="P12"/>
  <c r="T12"/>
  <c r="V12"/>
  <c r="Z12"/>
  <c r="AB12"/>
  <c r="AD12"/>
  <c r="AF12"/>
  <c r="AH12"/>
  <c r="AJ12"/>
  <c r="AL12"/>
  <c r="AN12"/>
  <c r="AP12"/>
  <c r="AR12"/>
  <c r="AT12"/>
  <c r="AV12"/>
  <c r="AX12"/>
  <c r="AZ12"/>
  <c r="BB12"/>
  <c r="BD12"/>
  <c r="BF12"/>
  <c r="B58" i="10"/>
  <c r="B132" i="2"/>
  <c r="B142" s="1"/>
  <c r="E224" i="11"/>
  <c r="E225" s="1"/>
  <c r="E102" i="2"/>
  <c r="E103" s="1"/>
  <c r="B230"/>
  <c r="B69" s="1"/>
  <c r="D10" i="7"/>
  <c r="B10"/>
  <c r="B190" i="11" s="1"/>
  <c r="C32" i="6"/>
  <c r="C61" i="11" s="1"/>
  <c r="B14" i="6"/>
  <c r="B58" i="11" s="1"/>
  <c r="B123"/>
  <c r="D117"/>
  <c r="B22" i="13" s="1"/>
  <c r="E112" i="11"/>
  <c r="E64" i="10"/>
  <c r="D72" i="2"/>
  <c r="D149" s="1"/>
  <c r="D150" s="1"/>
  <c r="D234"/>
  <c r="D32" i="6"/>
  <c r="D61" i="11" s="1"/>
  <c r="C73" i="3"/>
  <c r="C14" i="6"/>
  <c r="C58" i="11" s="1"/>
  <c r="B85" i="10"/>
  <c r="E63"/>
  <c r="C65"/>
  <c r="C75" s="1"/>
  <c r="E67"/>
  <c r="E68" s="1"/>
  <c r="B75" i="3"/>
  <c r="B31" i="6"/>
  <c r="D73" i="3"/>
  <c r="C210" i="11"/>
  <c r="B233" i="2"/>
  <c r="B234" s="1"/>
  <c r="B229"/>
  <c r="B76" i="3"/>
  <c r="B32" i="6"/>
  <c r="E32" s="1"/>
  <c r="E61" i="11" s="1"/>
  <c r="C75" i="3"/>
  <c r="B70" i="11"/>
  <c r="B71" s="1"/>
  <c r="D86" i="4"/>
  <c r="D154" i="11" s="1"/>
  <c r="C86" i="4"/>
  <c r="C154" i="11" s="1"/>
  <c r="D210"/>
  <c r="C117"/>
  <c r="B18" i="13" s="1"/>
  <c r="B68" i="3"/>
  <c r="E66"/>
  <c r="E68" s="1"/>
  <c r="B112"/>
  <c r="E31"/>
  <c r="E112" s="1"/>
  <c r="C52"/>
  <c r="C82" s="1"/>
  <c r="B29" i="6"/>
  <c r="B47" i="11" s="1"/>
  <c r="E30" i="3"/>
  <c r="C32"/>
  <c r="C113" s="1"/>
  <c r="C111"/>
  <c r="D51"/>
  <c r="D53" s="1"/>
  <c r="D113"/>
  <c r="E175" i="2"/>
  <c r="E98"/>
  <c r="E100" s="1"/>
  <c r="B68"/>
  <c r="B77" i="3"/>
  <c r="D81"/>
  <c r="B72" i="2"/>
  <c r="E111" i="3"/>
  <c r="B60" i="11"/>
  <c r="E14" i="13"/>
  <c r="D36" i="10" l="1"/>
  <c r="AT11" i="15" s="1"/>
  <c r="AR11"/>
  <c r="D40" i="10"/>
  <c r="BF11" i="15" s="1"/>
  <c r="BD11"/>
  <c r="E32" i="3"/>
  <c r="E113" s="1"/>
  <c r="E65" i="10"/>
  <c r="B87" i="11"/>
  <c r="D8" i="15"/>
  <c r="D38" i="10"/>
  <c r="AL11" i="15"/>
  <c r="D35" i="10"/>
  <c r="AN11" i="15" s="1"/>
  <c r="E282" i="11"/>
  <c r="E177" i="2"/>
  <c r="E286" i="11"/>
  <c r="E226"/>
  <c r="B114"/>
  <c r="B75" i="10"/>
  <c r="E122" i="1"/>
  <c r="E74" i="10" s="1"/>
  <c r="D14" i="6"/>
  <c r="D58" i="11" s="1"/>
  <c r="C55"/>
  <c r="C56" s="1"/>
  <c r="D82" i="3"/>
  <c r="D83" s="1"/>
  <c r="D122" i="1"/>
  <c r="D74" i="10" s="1"/>
  <c r="E95" i="1"/>
  <c r="E53" i="10" s="1"/>
  <c r="E71" i="1"/>
  <c r="C61" i="4"/>
  <c r="C129" i="11" s="1"/>
  <c r="B34" i="1"/>
  <c r="B49" i="10" s="1"/>
  <c r="D49"/>
  <c r="C18" i="13"/>
  <c r="E118" i="11"/>
  <c r="C57"/>
  <c r="E57" s="1"/>
  <c r="D190"/>
  <c r="B231"/>
  <c r="D14" i="13"/>
  <c r="E119" i="11"/>
  <c r="B73" i="3"/>
  <c r="E117" i="11"/>
  <c r="B124"/>
  <c r="B15" i="5"/>
  <c r="B21" i="11"/>
  <c r="A13" i="13" s="1"/>
  <c r="C14" i="5"/>
  <c r="C21" i="11"/>
  <c r="A17" i="13" s="1"/>
  <c r="B61" i="11"/>
  <c r="B36" i="6"/>
  <c r="B43" i="11"/>
  <c r="B15" i="6"/>
  <c r="E14"/>
  <c r="E58" i="11" s="1"/>
  <c r="E227"/>
  <c r="B145" i="2"/>
  <c r="B70"/>
  <c r="C222" i="11"/>
  <c r="C230" i="2"/>
  <c r="C135" i="11"/>
  <c r="B181" i="2"/>
  <c r="E181" s="1"/>
  <c r="E104"/>
  <c r="E99" i="1"/>
  <c r="B242" i="11"/>
  <c r="AN8" i="15"/>
  <c r="B296" i="2"/>
  <c r="B61" i="3"/>
  <c r="B51"/>
  <c r="B55"/>
  <c r="B60"/>
  <c r="AH8" i="15"/>
  <c r="B52" i="3"/>
  <c r="B57"/>
  <c r="B58"/>
  <c r="D48" i="10"/>
  <c r="E33" i="1"/>
  <c r="E48" i="10" s="1"/>
  <c r="Z7" i="15"/>
  <c r="D221" i="11"/>
  <c r="D230" i="2" s="1"/>
  <c r="D69" s="1"/>
  <c r="E47" i="10"/>
  <c r="E34" i="1"/>
  <c r="B209" i="2"/>
  <c r="D7" i="15"/>
  <c r="B33" i="6"/>
  <c r="B62" i="11" s="1"/>
  <c r="B35" i="6"/>
  <c r="E121" i="11"/>
  <c r="D31" i="6"/>
  <c r="D75" i="3"/>
  <c r="D123" i="11"/>
  <c r="E22" i="13" s="1"/>
  <c r="BD9" i="15"/>
  <c r="C53" i="3"/>
  <c r="C81"/>
  <c r="C83" s="1"/>
  <c r="D73" i="2"/>
  <c r="E75" i="10"/>
  <c r="B102" i="11"/>
  <c r="B146" i="2"/>
  <c r="E285" i="11"/>
  <c r="D229" i="2"/>
  <c r="C10" i="7"/>
  <c r="D52" i="11"/>
  <c r="D114"/>
  <c r="A14" i="13"/>
  <c r="D229" i="11"/>
  <c r="D231" s="1"/>
  <c r="R12" i="15"/>
  <c r="E56" i="10"/>
  <c r="D58"/>
  <c r="D59" s="1"/>
  <c r="C43"/>
  <c r="B12" i="15"/>
  <c r="D21" i="11"/>
  <c r="A21" i="13" s="1"/>
  <c r="B300" i="2"/>
  <c r="B245" i="11"/>
  <c r="B149" i="2"/>
  <c r="B73"/>
  <c r="E235"/>
  <c r="B74"/>
  <c r="C234"/>
  <c r="E233"/>
  <c r="E234" s="1"/>
  <c r="C72"/>
  <c r="E122" i="11"/>
  <c r="C123"/>
  <c r="C76" i="3"/>
  <c r="E76" s="1"/>
  <c r="D55" i="11"/>
  <c r="E116"/>
  <c r="C114"/>
  <c r="E114" s="1"/>
  <c r="C51"/>
  <c r="C53" s="1"/>
  <c r="E57" i="10"/>
  <c r="C58"/>
  <c r="C59" s="1"/>
  <c r="C230" i="11"/>
  <c r="E230" s="1"/>
  <c r="B103" i="2"/>
  <c r="B179"/>
  <c r="H16" i="10"/>
  <c r="V9" i="15"/>
  <c r="B15" i="11"/>
  <c r="B14"/>
  <c r="C31" i="6"/>
  <c r="E31" s="1"/>
  <c r="E75" i="3"/>
  <c r="AB7" i="15"/>
  <c r="D53" i="11"/>
  <c r="B86" i="10"/>
  <c r="AV8" i="15"/>
  <c r="E72" i="1"/>
  <c r="E52" i="10" s="1"/>
  <c r="E51"/>
  <c r="H22"/>
  <c r="BB7" i="15"/>
  <c r="D67" i="4"/>
  <c r="D10" i="10"/>
  <c r="D61" i="4"/>
  <c r="D9" i="10"/>
  <c r="AN7" i="15"/>
  <c r="B10" i="10"/>
  <c r="AD7" i="15"/>
  <c r="B231" i="2"/>
  <c r="E220" i="11"/>
  <c r="B222"/>
  <c r="B13" i="7" s="1"/>
  <c r="B232" i="11" s="1"/>
  <c r="B52"/>
  <c r="E113"/>
  <c r="D42" i="10"/>
  <c r="BL11" i="15" s="1"/>
  <c r="BJ11"/>
  <c r="D103" i="2"/>
  <c r="D179"/>
  <c r="D180" s="1"/>
  <c r="F12" i="10"/>
  <c r="R8" i="15"/>
  <c r="H12" i="10"/>
  <c r="B92"/>
  <c r="E284" i="11"/>
  <c r="E51"/>
  <c r="B66"/>
  <c r="D75" i="10"/>
  <c r="B38" i="11"/>
  <c r="B48" s="1"/>
  <c r="D14" i="5"/>
  <c r="E54" i="10"/>
  <c r="X12" i="15"/>
  <c r="H12"/>
  <c r="C7" i="6"/>
  <c r="C99" i="4"/>
  <c r="B59" i="10" l="1"/>
  <c r="D146" i="2"/>
  <c r="B88" i="3"/>
  <c r="B56"/>
  <c r="C69" i="2"/>
  <c r="C231"/>
  <c r="E230"/>
  <c r="B160"/>
  <c r="B147"/>
  <c r="B73" i="11"/>
  <c r="C167"/>
  <c r="D129"/>
  <c r="C33" i="6"/>
  <c r="C62" i="11" s="1"/>
  <c r="C60"/>
  <c r="B82" i="3"/>
  <c r="E82" s="1"/>
  <c r="E52"/>
  <c r="E15" i="5"/>
  <c r="T10" i="15"/>
  <c r="B16" i="5"/>
  <c r="E52" i="11"/>
  <c r="B53"/>
  <c r="B63" s="1"/>
  <c r="B67"/>
  <c r="B68" s="1"/>
  <c r="C77" i="3"/>
  <c r="A22" i="13"/>
  <c r="D124" i="11"/>
  <c r="D60"/>
  <c r="D33" i="6"/>
  <c r="D62" i="11" s="1"/>
  <c r="E49" i="10"/>
  <c r="B91" i="3"/>
  <c r="B76" i="11"/>
  <c r="E73" i="3"/>
  <c r="E221" i="11"/>
  <c r="C63"/>
  <c r="D222"/>
  <c r="D13" i="7" s="1"/>
  <c r="D232" i="11" s="1"/>
  <c r="E229"/>
  <c r="E231" s="1"/>
  <c r="D16" i="5"/>
  <c r="R10" i="15"/>
  <c r="E74" i="2"/>
  <c r="B151"/>
  <c r="E33" i="6"/>
  <c r="E62" i="11" s="1"/>
  <c r="E60"/>
  <c r="C124"/>
  <c r="A18" i="13"/>
  <c r="E123" i="11"/>
  <c r="E18" i="13"/>
  <c r="B63" i="2"/>
  <c r="B224"/>
  <c r="D43" i="10"/>
  <c r="F12" i="15" s="1"/>
  <c r="D12"/>
  <c r="D231" i="2"/>
  <c r="D68"/>
  <c r="B161"/>
  <c r="C42" i="11"/>
  <c r="B62" i="3"/>
  <c r="B90"/>
  <c r="B220" i="2"/>
  <c r="B210" i="11"/>
  <c r="E210" s="1"/>
  <c r="B59" i="2"/>
  <c r="E296"/>
  <c r="D135" i="11"/>
  <c r="E179" i="2"/>
  <c r="E180" s="1"/>
  <c r="B180"/>
  <c r="D56" i="11"/>
  <c r="D63" s="1"/>
  <c r="E55"/>
  <c r="E56" s="1"/>
  <c r="C149" i="2"/>
  <c r="C150" s="1"/>
  <c r="C73"/>
  <c r="E72"/>
  <c r="E73" s="1"/>
  <c r="B150"/>
  <c r="B164"/>
  <c r="C190" i="11"/>
  <c r="D77" i="3"/>
  <c r="B37" i="6"/>
  <c r="B77" i="11" s="1"/>
  <c r="B75"/>
  <c r="B294" i="2"/>
  <c r="B99" i="4"/>
  <c r="B7" i="6"/>
  <c r="B7" i="3"/>
  <c r="B7" i="4"/>
  <c r="B61"/>
  <c r="B67"/>
  <c r="B236" i="11"/>
  <c r="B299" i="2"/>
  <c r="B93" i="4"/>
  <c r="B7" i="5"/>
  <c r="B240" i="11"/>
  <c r="B74" i="4"/>
  <c r="B237" i="11"/>
  <c r="B86" i="4"/>
  <c r="B291" i="2"/>
  <c r="B297"/>
  <c r="B290"/>
  <c r="B7" i="7"/>
  <c r="B243" i="11"/>
  <c r="B246"/>
  <c r="B53" i="3"/>
  <c r="E51"/>
  <c r="E53" s="1"/>
  <c r="B81"/>
  <c r="P10" i="15"/>
  <c r="E14" i="5"/>
  <c r="E16" s="1"/>
  <c r="C16"/>
  <c r="E53" i="11"/>
  <c r="E63" s="1"/>
  <c r="E222"/>
  <c r="E13" i="7" s="1"/>
  <c r="E232" i="11" s="1"/>
  <c r="E77" i="3"/>
  <c r="C231" i="11"/>
  <c r="C13" i="7" s="1"/>
  <c r="C232" i="11" s="1"/>
  <c r="E229" i="2"/>
  <c r="E58" i="10"/>
  <c r="E59" s="1"/>
  <c r="E149" i="2" l="1"/>
  <c r="E150" s="1"/>
  <c r="E124" i="11"/>
  <c r="B241"/>
  <c r="B142"/>
  <c r="B62" i="2"/>
  <c r="B223"/>
  <c r="B301"/>
  <c r="B77" i="4"/>
  <c r="B145" i="11" s="1"/>
  <c r="B57" i="2"/>
  <c r="B295"/>
  <c r="B218"/>
  <c r="B208" i="11"/>
  <c r="B92" i="3"/>
  <c r="C72" i="11"/>
  <c r="B154"/>
  <c r="B135"/>
  <c r="B165" i="2"/>
  <c r="B194"/>
  <c r="B191"/>
  <c r="B83" i="3"/>
  <c r="E81"/>
  <c r="E83" s="1"/>
  <c r="B54" i="2"/>
  <c r="B215"/>
  <c r="B205" i="11"/>
  <c r="B70" i="4"/>
  <c r="B138" i="11" s="1"/>
  <c r="B238"/>
  <c r="B89" i="2"/>
  <c r="B221"/>
  <c r="B60"/>
  <c r="B190"/>
  <c r="B162"/>
  <c r="B53"/>
  <c r="B64" i="4"/>
  <c r="B132" i="11" s="1"/>
  <c r="B214" i="2"/>
  <c r="B204" i="11"/>
  <c r="B292" i="2"/>
  <c r="B302" s="1"/>
  <c r="B161" i="11"/>
  <c r="B129"/>
  <c r="B167"/>
  <c r="B250" i="2"/>
  <c r="D70"/>
  <c r="D145"/>
  <c r="E68"/>
  <c r="E151"/>
  <c r="B166"/>
  <c r="C146"/>
  <c r="E69"/>
  <c r="C70"/>
  <c r="B78" i="11"/>
  <c r="E231" i="2"/>
  <c r="B63" i="3"/>
  <c r="B247" i="11"/>
  <c r="E70" i="2" l="1"/>
  <c r="B196"/>
  <c r="B244"/>
  <c r="B216"/>
  <c r="C131"/>
  <c r="C87" i="11"/>
  <c r="C147" i="2"/>
  <c r="E146"/>
  <c r="B206" i="11"/>
  <c r="C130" i="2"/>
  <c r="B192"/>
  <c r="B219"/>
  <c r="B248"/>
  <c r="B83"/>
  <c r="B55"/>
  <c r="C134"/>
  <c r="B195"/>
  <c r="B225"/>
  <c r="B248" i="11"/>
  <c r="B119" i="2"/>
  <c r="B84"/>
  <c r="B209" i="11"/>
  <c r="B64" i="2"/>
  <c r="B245"/>
  <c r="D147"/>
  <c r="E145"/>
  <c r="E147" s="1"/>
  <c r="B265"/>
  <c r="B87"/>
  <c r="B58"/>
  <c r="B117" l="1"/>
  <c r="B88"/>
  <c r="C136"/>
  <c r="C59"/>
  <c r="C135"/>
  <c r="C164"/>
  <c r="B249"/>
  <c r="G15" i="8"/>
  <c r="B114" i="2"/>
  <c r="B113"/>
  <c r="B85"/>
  <c r="C132"/>
  <c r="C160"/>
  <c r="C161"/>
  <c r="B246"/>
  <c r="B65"/>
  <c r="B25" i="11"/>
  <c r="C102"/>
  <c r="B226" i="2"/>
  <c r="C162" l="1"/>
  <c r="C190"/>
  <c r="B100" i="4"/>
  <c r="B87"/>
  <c r="B68"/>
  <c r="B94"/>
  <c r="B62"/>
  <c r="B75"/>
  <c r="D42" i="11"/>
  <c r="B29"/>
  <c r="B26"/>
  <c r="D13" i="13" s="1"/>
  <c r="B28" i="11"/>
  <c r="C13" i="13"/>
  <c r="B72" i="3"/>
  <c r="B23" i="11"/>
  <c r="B20" i="5"/>
  <c r="B115" i="2"/>
  <c r="C89"/>
  <c r="B118"/>
  <c r="C166"/>
  <c r="C191"/>
  <c r="C194"/>
  <c r="C165"/>
  <c r="B168" i="11" l="1"/>
  <c r="B155"/>
  <c r="C196" i="2"/>
  <c r="B162" i="11"/>
  <c r="B18" i="3"/>
  <c r="B87"/>
  <c r="B130" i="11"/>
  <c r="D130" i="2"/>
  <c r="C192"/>
  <c r="D134"/>
  <c r="C195"/>
  <c r="D131"/>
  <c r="B24" i="11"/>
  <c r="B13" i="13" s="1"/>
  <c r="B18" i="5"/>
  <c r="B70" i="3"/>
  <c r="B143" i="11"/>
  <c r="C119" i="2"/>
  <c r="B21" i="5"/>
  <c r="AF10" i="15"/>
  <c r="B115" i="1"/>
  <c r="B116"/>
  <c r="D72" i="11"/>
  <c r="E42"/>
  <c r="B136"/>
  <c r="B30"/>
  <c r="E13" i="13" s="1"/>
  <c r="D87" i="11" l="1"/>
  <c r="E87" s="1"/>
  <c r="E72"/>
  <c r="AL10" i="15"/>
  <c r="B236" i="2"/>
  <c r="D59"/>
  <c r="B19" i="5"/>
  <c r="Z10" i="15"/>
  <c r="B102" i="3"/>
  <c r="D136" i="2"/>
  <c r="B71" i="3"/>
  <c r="B78" s="1"/>
  <c r="B85"/>
  <c r="D161" i="2"/>
  <c r="E131"/>
  <c r="B23" i="5"/>
  <c r="BB8" i="15"/>
  <c r="B238" i="2"/>
  <c r="B117" i="1"/>
  <c r="B25" i="5" s="1"/>
  <c r="D135" i="2"/>
  <c r="D164"/>
  <c r="E134"/>
  <c r="E135" s="1"/>
  <c r="BH8" i="15"/>
  <c r="B24" i="5"/>
  <c r="B239" i="2"/>
  <c r="D160"/>
  <c r="D132"/>
  <c r="E130"/>
  <c r="E132" s="1"/>
  <c r="B256" i="11"/>
  <c r="A15" i="13"/>
  <c r="B31" i="11" s="1"/>
  <c r="D162" i="2" l="1"/>
  <c r="D190"/>
  <c r="E160"/>
  <c r="B86" i="3"/>
  <c r="B93" s="1"/>
  <c r="B75" i="2"/>
  <c r="B211" i="11"/>
  <c r="B251" i="2"/>
  <c r="B26" i="5"/>
  <c r="D102" i="11"/>
  <c r="E102" s="1"/>
  <c r="D194" i="2"/>
  <c r="D165"/>
  <c r="E164"/>
  <c r="E165" s="1"/>
  <c r="B77"/>
  <c r="B240"/>
  <c r="B241" s="1"/>
  <c r="B213" i="11"/>
  <c r="B253" i="2"/>
  <c r="D191"/>
  <c r="E161"/>
  <c r="B78"/>
  <c r="B214" i="11"/>
  <c r="B254" i="2"/>
  <c r="D89"/>
  <c r="E59"/>
  <c r="D166"/>
  <c r="E136"/>
  <c r="B18" i="4"/>
  <c r="B12" i="2" l="1"/>
  <c r="D192"/>
  <c r="E190"/>
  <c r="D196"/>
  <c r="E166"/>
  <c r="B155"/>
  <c r="B93"/>
  <c r="B79"/>
  <c r="B80" s="1"/>
  <c r="B154"/>
  <c r="B92"/>
  <c r="B13"/>
  <c r="E191"/>
  <c r="B191" i="11"/>
  <c r="B192" s="1"/>
  <c r="B215"/>
  <c r="B216" s="1"/>
  <c r="B152" i="2"/>
  <c r="B90"/>
  <c r="D119"/>
  <c r="E119" s="1"/>
  <c r="E89"/>
  <c r="B255"/>
  <c r="B16"/>
  <c r="B17" s="1"/>
  <c r="D195"/>
  <c r="E194"/>
  <c r="E195" s="1"/>
  <c r="B256"/>
  <c r="E162"/>
  <c r="B14" l="1"/>
  <c r="B94"/>
  <c r="B95" s="1"/>
  <c r="B170"/>
  <c r="B167"/>
  <c r="B156"/>
  <c r="B157" s="1"/>
  <c r="B169"/>
  <c r="E192"/>
  <c r="B18"/>
  <c r="E196"/>
  <c r="B69" i="4"/>
  <c r="B63"/>
  <c r="B76"/>
  <c r="B144" i="11" l="1"/>
  <c r="B47" i="4"/>
  <c r="B31" s="1"/>
  <c r="B131" i="11"/>
  <c r="B44" i="4"/>
  <c r="B28" s="1"/>
  <c r="B137" i="11"/>
  <c r="B45" i="4"/>
  <c r="B29" s="1"/>
  <c r="B171" i="2"/>
  <c r="B172" s="1"/>
  <c r="B82" i="11" l="1"/>
  <c r="AP9" i="15"/>
  <c r="B260" i="2"/>
  <c r="B100" i="3"/>
  <c r="AV9" i="15"/>
  <c r="B263" i="2"/>
  <c r="B85" i="11"/>
  <c r="B259" i="2"/>
  <c r="AJ9" i="15"/>
  <c r="B81" i="11"/>
  <c r="B261" i="2" l="1"/>
  <c r="G9" i="8"/>
  <c r="B274" i="2"/>
  <c r="B16" i="4"/>
  <c r="B101" i="3"/>
  <c r="B17" i="4" s="1"/>
  <c r="B17" i="3"/>
  <c r="B34"/>
  <c r="B97" i="11"/>
  <c r="B264" i="2"/>
  <c r="G13" i="8"/>
  <c r="B278" i="2"/>
  <c r="G10" i="8"/>
  <c r="B275" i="2"/>
  <c r="B83" i="11"/>
  <c r="B96"/>
  <c r="B86"/>
  <c r="B100"/>
  <c r="C291" i="2" l="1"/>
  <c r="C215"/>
  <c r="C70" i="4"/>
  <c r="C138" i="11" s="1"/>
  <c r="C36"/>
  <c r="B98"/>
  <c r="B77" i="8"/>
  <c r="B35" i="3"/>
  <c r="C55"/>
  <c r="B115"/>
  <c r="B82" i="8"/>
  <c r="G14"/>
  <c r="B83" s="1"/>
  <c r="C40" i="11"/>
  <c r="B101"/>
  <c r="B279" i="2"/>
  <c r="C294"/>
  <c r="C218" s="1"/>
  <c r="C37" i="11"/>
  <c r="B255"/>
  <c r="B76" i="8"/>
  <c r="G11"/>
  <c r="C290" i="2"/>
  <c r="B276"/>
  <c r="C292" l="1"/>
  <c r="C204" i="11"/>
  <c r="C53" i="2"/>
  <c r="C56" i="3"/>
  <c r="C245" i="2"/>
  <c r="B78" i="8"/>
  <c r="B181" i="11"/>
  <c r="C295" i="2"/>
  <c r="C208" i="11"/>
  <c r="C57" i="2"/>
  <c r="C67" i="11"/>
  <c r="B116" i="3"/>
  <c r="C205" i="11"/>
  <c r="C54" i="2"/>
  <c r="C64" i="4"/>
  <c r="C132" i="11" s="1"/>
  <c r="C248" i="2"/>
  <c r="C219"/>
  <c r="C66" i="11"/>
  <c r="C38"/>
  <c r="C41"/>
  <c r="C70"/>
  <c r="C214" i="2"/>
  <c r="C77" i="4"/>
  <c r="C145" i="11" s="1"/>
  <c r="C71" l="1"/>
  <c r="C206"/>
  <c r="C244" i="2"/>
  <c r="C216"/>
  <c r="C68" i="11"/>
  <c r="C249" i="2"/>
  <c r="C209" i="11"/>
  <c r="C84" i="2"/>
  <c r="C58"/>
  <c r="C87"/>
  <c r="B34" i="5"/>
  <c r="B49"/>
  <c r="B48"/>
  <c r="B184" i="11" s="1"/>
  <c r="B97" i="4"/>
  <c r="B90"/>
  <c r="B40" i="5"/>
  <c r="B44"/>
  <c r="B182" i="11" s="1"/>
  <c r="B35" i="5"/>
  <c r="B103" i="4"/>
  <c r="B97" i="3"/>
  <c r="B96"/>
  <c r="C83" i="2"/>
  <c r="C55"/>
  <c r="B36" i="5" l="1"/>
  <c r="B177" i="11" s="1"/>
  <c r="B176"/>
  <c r="B179"/>
  <c r="B41" i="5"/>
  <c r="B180" i="11" s="1"/>
  <c r="C114" i="2"/>
  <c r="C113"/>
  <c r="C85"/>
  <c r="B12" i="4"/>
  <c r="B98" i="3"/>
  <c r="B14"/>
  <c r="B158" i="11"/>
  <c r="B49" i="4"/>
  <c r="B33" s="1"/>
  <c r="B185" i="11"/>
  <c r="B50" i="5"/>
  <c r="C88" i="2"/>
  <c r="C117"/>
  <c r="C246"/>
  <c r="B171" i="11"/>
  <c r="B52" i="4"/>
  <c r="B36" s="1"/>
  <c r="B13"/>
  <c r="B15" i="3"/>
  <c r="B165" i="11"/>
  <c r="B51" i="4"/>
  <c r="B35" s="1"/>
  <c r="B175" i="11"/>
  <c r="C87" i="4" l="1"/>
  <c r="C75"/>
  <c r="C94"/>
  <c r="C62"/>
  <c r="C100"/>
  <c r="C68"/>
  <c r="B252" i="11"/>
  <c r="B269" i="2"/>
  <c r="B106" i="3"/>
  <c r="H10" i="15"/>
  <c r="B40" i="6"/>
  <c r="B10" i="15"/>
  <c r="B105" i="3"/>
  <c r="B39" i="6"/>
  <c r="B268" i="2"/>
  <c r="B186" i="11"/>
  <c r="B187"/>
  <c r="C118" i="2"/>
  <c r="B253" i="11"/>
  <c r="BH9" i="15"/>
  <c r="B103" i="3"/>
  <c r="B16" i="6"/>
  <c r="B266" i="2"/>
  <c r="B14" i="4"/>
  <c r="C115" i="2"/>
  <c r="C136" i="11" l="1"/>
  <c r="B108" i="2"/>
  <c r="B91" i="11"/>
  <c r="B44" i="6"/>
  <c r="G16" i="8"/>
  <c r="B281" i="2"/>
  <c r="B270"/>
  <c r="B271" s="1"/>
  <c r="G18" i="8"/>
  <c r="B283" i="2"/>
  <c r="B22" i="4"/>
  <c r="B22" i="3"/>
  <c r="B40"/>
  <c r="C168" i="11"/>
  <c r="C155"/>
  <c r="C143"/>
  <c r="B19" i="4"/>
  <c r="B19" i="3"/>
  <c r="B37"/>
  <c r="B21" i="4"/>
  <c r="B107" i="3"/>
  <c r="B21"/>
  <c r="B39"/>
  <c r="C162" i="11"/>
  <c r="B105" i="2"/>
  <c r="B88" i="11"/>
  <c r="B17" i="6"/>
  <c r="B93" i="11"/>
  <c r="B41" i="6"/>
  <c r="B92" i="11" s="1"/>
  <c r="B90"/>
  <c r="B107" i="2"/>
  <c r="B43" i="6"/>
  <c r="G19" i="8"/>
  <c r="B284" i="2"/>
  <c r="C130" i="11"/>
  <c r="B280" i="2" l="1"/>
  <c r="B23" i="4"/>
  <c r="B108" i="3"/>
  <c r="C61"/>
  <c r="B121"/>
  <c r="B49" i="6"/>
  <c r="C299" i="2"/>
  <c r="B285"/>
  <c r="C223"/>
  <c r="B103" i="11"/>
  <c r="C13" i="6"/>
  <c r="B257" i="11"/>
  <c r="B185" i="2"/>
  <c r="B123"/>
  <c r="C300"/>
  <c r="B105" i="11"/>
  <c r="C27" i="6"/>
  <c r="B45"/>
  <c r="B107" i="11" s="1"/>
  <c r="B120" i="3"/>
  <c r="B41"/>
  <c r="B122" s="1"/>
  <c r="C60"/>
  <c r="B48" i="6"/>
  <c r="B260" i="11"/>
  <c r="G20" i="8"/>
  <c r="G21" s="1"/>
  <c r="C297" i="2"/>
  <c r="C221" s="1"/>
  <c r="C220"/>
  <c r="B286"/>
  <c r="C28" i="6"/>
  <c r="B106" i="11"/>
  <c r="B109" i="2"/>
  <c r="B19" i="7" s="1"/>
  <c r="B184" i="2"/>
  <c r="B122"/>
  <c r="B193" i="11"/>
  <c r="B22" i="7" s="1"/>
  <c r="B194" i="11" s="1"/>
  <c r="B9" i="8"/>
  <c r="B182" i="2"/>
  <c r="B16" i="7"/>
  <c r="B120" i="2"/>
  <c r="B259" i="11"/>
  <c r="B118" i="3"/>
  <c r="C58"/>
  <c r="B19" i="6"/>
  <c r="B110" i="2" l="1"/>
  <c r="B287" i="11"/>
  <c r="B28" i="8"/>
  <c r="L9"/>
  <c r="B10" s="1"/>
  <c r="C250" i="2"/>
  <c r="B290" i="11"/>
  <c r="B197" i="2"/>
  <c r="B186"/>
  <c r="B187" s="1"/>
  <c r="B199"/>
  <c r="C36" i="6"/>
  <c r="C46" i="11"/>
  <c r="C45"/>
  <c r="C29" i="6"/>
  <c r="C47" i="11" s="1"/>
  <c r="C35" i="6"/>
  <c r="B108" i="11"/>
  <c r="B24" i="4"/>
  <c r="B36" i="3"/>
  <c r="C90"/>
  <c r="C62"/>
  <c r="C63" i="2"/>
  <c r="C301"/>
  <c r="C91" i="3"/>
  <c r="C88"/>
  <c r="C60" i="2"/>
  <c r="B124"/>
  <c r="B125" s="1"/>
  <c r="C62"/>
  <c r="C302"/>
  <c r="B50" i="6"/>
  <c r="B291" i="11" s="1"/>
  <c r="B289"/>
  <c r="B200" i="2"/>
  <c r="C43" i="11"/>
  <c r="C15" i="6"/>
  <c r="C48" i="11"/>
  <c r="C224" i="2"/>
  <c r="B29" i="8" l="1"/>
  <c r="L10"/>
  <c r="B13" s="1"/>
  <c r="C139" i="2"/>
  <c r="B201"/>
  <c r="C92" i="3"/>
  <c r="B292" i="11"/>
  <c r="C73"/>
  <c r="C78"/>
  <c r="C64" i="2"/>
  <c r="C65" s="1"/>
  <c r="C75" i="11"/>
  <c r="C37" i="6"/>
  <c r="C77" i="11" s="1"/>
  <c r="L11" i="8"/>
  <c r="B44"/>
  <c r="C140" i="2"/>
  <c r="B117" i="3"/>
  <c r="C57"/>
  <c r="C242" i="11"/>
  <c r="C240"/>
  <c r="B42" i="3"/>
  <c r="B123" s="1"/>
  <c r="C236" i="11"/>
  <c r="C237"/>
  <c r="C245"/>
  <c r="C243"/>
  <c r="C246"/>
  <c r="C76"/>
  <c r="C137" i="2"/>
  <c r="B202"/>
  <c r="C265"/>
  <c r="C225"/>
  <c r="C226" s="1"/>
  <c r="C241" i="11" l="1"/>
  <c r="B32" i="8"/>
  <c r="L13"/>
  <c r="B15" s="1"/>
  <c r="L18" s="1"/>
  <c r="C63" i="3"/>
  <c r="C247" i="11"/>
  <c r="B46" i="8"/>
  <c r="B45"/>
  <c r="H15"/>
  <c r="C238" i="11"/>
  <c r="C248" s="1"/>
  <c r="C141" i="2"/>
  <c r="C142" s="1"/>
  <c r="C25" i="11"/>
  <c r="B53" i="8" l="1"/>
  <c r="L14"/>
  <c r="B48"/>
  <c r="C17" i="13"/>
  <c r="C28" i="11"/>
  <c r="C23"/>
  <c r="C20" i="5"/>
  <c r="C72" i="3"/>
  <c r="C29" i="11"/>
  <c r="C26"/>
  <c r="D17" i="13" s="1"/>
  <c r="B34" i="8"/>
  <c r="L15"/>
  <c r="B273" i="11" s="1"/>
  <c r="L16" i="8"/>
  <c r="L19"/>
  <c r="L20" s="1"/>
  <c r="C116" i="1" l="1"/>
  <c r="C115"/>
  <c r="AH10" i="15"/>
  <c r="C21" i="5"/>
  <c r="C18" i="3"/>
  <c r="C87"/>
  <c r="B49" i="8"/>
  <c r="L21"/>
  <c r="Q14" s="1"/>
  <c r="B65" s="1"/>
  <c r="B55"/>
  <c r="B271" i="11"/>
  <c r="B51" i="8"/>
  <c r="B274" i="11"/>
  <c r="B275" s="1"/>
  <c r="B54" i="8"/>
  <c r="Q19"/>
  <c r="B70" s="1"/>
  <c r="C70" i="3"/>
  <c r="C24" i="11"/>
  <c r="B17" i="13" s="1"/>
  <c r="C18" i="5"/>
  <c r="Q15" i="8"/>
  <c r="B66" s="1"/>
  <c r="B50"/>
  <c r="B264" i="11"/>
  <c r="B270"/>
  <c r="B265"/>
  <c r="C30"/>
  <c r="E17" i="13" s="1"/>
  <c r="B268" i="11"/>
  <c r="Q16" i="8" l="1"/>
  <c r="B67" s="1"/>
  <c r="Q20"/>
  <c r="B71" s="1"/>
  <c r="C71" i="3"/>
  <c r="C78" s="1"/>
  <c r="C85"/>
  <c r="C102"/>
  <c r="AN10" i="15"/>
  <c r="C236" i="2"/>
  <c r="B269" i="11"/>
  <c r="B266"/>
  <c r="B56" i="8"/>
  <c r="Q21"/>
  <c r="B72" s="1"/>
  <c r="Q9"/>
  <c r="B60" s="1"/>
  <c r="Q11"/>
  <c r="B62" s="1"/>
  <c r="Q10"/>
  <c r="B61" s="1"/>
  <c r="Q18"/>
  <c r="B69" s="1"/>
  <c r="Q13"/>
  <c r="B64" s="1"/>
  <c r="C256" i="11"/>
  <c r="BJ8" i="15"/>
  <c r="C24" i="5"/>
  <c r="C239" i="2"/>
  <c r="AB10" i="15"/>
  <c r="C19" i="5"/>
  <c r="C238" i="2"/>
  <c r="C117" i="1"/>
  <c r="C25" i="5" s="1"/>
  <c r="BD8" i="15"/>
  <c r="C23" i="5"/>
  <c r="A19" i="13"/>
  <c r="C31" i="11" s="1"/>
  <c r="C26" i="5" l="1"/>
  <c r="C18" i="4"/>
  <c r="C77" i="2"/>
  <c r="C240"/>
  <c r="C253"/>
  <c r="C213" i="11"/>
  <c r="C86" i="3"/>
  <c r="C93" s="1"/>
  <c r="B276" i="11"/>
  <c r="C75" i="2"/>
  <c r="C241"/>
  <c r="C251"/>
  <c r="C211" i="11"/>
  <c r="C78" i="2"/>
  <c r="C214" i="11"/>
  <c r="C254" i="2"/>
  <c r="B301" i="11"/>
  <c r="B308" l="1"/>
  <c r="B305"/>
  <c r="B300"/>
  <c r="B296"/>
  <c r="B307"/>
  <c r="B302"/>
  <c r="B297"/>
  <c r="B306"/>
  <c r="B303"/>
  <c r="C152" i="2"/>
  <c r="C90"/>
  <c r="C255"/>
  <c r="C256" s="1"/>
  <c r="C191" i="11"/>
  <c r="C192" s="1"/>
  <c r="C154" i="2"/>
  <c r="C79"/>
  <c r="C80" s="1"/>
  <c r="C92"/>
  <c r="C155"/>
  <c r="C93"/>
  <c r="C215" i="11"/>
  <c r="C216" s="1"/>
  <c r="B298"/>
  <c r="C69" i="4" l="1"/>
  <c r="C76"/>
  <c r="C63"/>
  <c r="C94" i="2"/>
  <c r="C95" s="1"/>
  <c r="C156"/>
  <c r="C157" s="1"/>
  <c r="C169"/>
  <c r="C167"/>
  <c r="C170"/>
  <c r="C131" i="11" l="1"/>
  <c r="C44" i="4"/>
  <c r="C28" s="1"/>
  <c r="C171" i="2"/>
  <c r="C172"/>
  <c r="C137" i="11"/>
  <c r="C45" i="4"/>
  <c r="C29" s="1"/>
  <c r="C144" i="11"/>
  <c r="C47" i="4"/>
  <c r="C31" s="1"/>
  <c r="AL9" i="15" l="1"/>
  <c r="C81" i="11"/>
  <c r="C259" i="2"/>
  <c r="AX9" i="15"/>
  <c r="C85" i="11"/>
  <c r="C263" i="2"/>
  <c r="C100" i="3"/>
  <c r="AR9" i="15"/>
  <c r="C260" i="2"/>
  <c r="C82" i="11"/>
  <c r="C86" l="1"/>
  <c r="C100"/>
  <c r="H10" i="8"/>
  <c r="C275" i="2"/>
  <c r="C97" i="11"/>
  <c r="C264" i="2"/>
  <c r="H13" i="8"/>
  <c r="C278" i="2"/>
  <c r="C83" i="11"/>
  <c r="C96"/>
  <c r="C101" i="3"/>
  <c r="C17" i="4" s="1"/>
  <c r="C16"/>
  <c r="C17" i="3"/>
  <c r="C34"/>
  <c r="C261" i="2"/>
  <c r="H9" i="8"/>
  <c r="C274" i="2"/>
  <c r="C77" i="8" l="1"/>
  <c r="D291" i="2"/>
  <c r="C76" i="8"/>
  <c r="H11"/>
  <c r="C255" i="11"/>
  <c r="D36"/>
  <c r="C98"/>
  <c r="H14" i="8"/>
  <c r="C83" s="1"/>
  <c r="C82"/>
  <c r="C101" i="11"/>
  <c r="D40"/>
  <c r="C276" i="2"/>
  <c r="D290"/>
  <c r="D214" s="1"/>
  <c r="D55" i="3"/>
  <c r="C115"/>
  <c r="C35"/>
  <c r="D294" i="2"/>
  <c r="D77" i="4" s="1"/>
  <c r="D145" i="11" s="1"/>
  <c r="C279" i="2"/>
  <c r="D37" i="11"/>
  <c r="D218" i="2" l="1"/>
  <c r="D244"/>
  <c r="E214"/>
  <c r="D67" i="11"/>
  <c r="E37"/>
  <c r="D66"/>
  <c r="D38"/>
  <c r="E36"/>
  <c r="D205"/>
  <c r="E205" s="1"/>
  <c r="E291" i="2"/>
  <c r="D54"/>
  <c r="D56" i="3"/>
  <c r="E55"/>
  <c r="E56" s="1"/>
  <c r="C78" i="8"/>
  <c r="C181" i="11"/>
  <c r="D215" i="2"/>
  <c r="D216" s="1"/>
  <c r="D248"/>
  <c r="D219"/>
  <c r="E218"/>
  <c r="E219" s="1"/>
  <c r="C116" i="3"/>
  <c r="D41" i="11"/>
  <c r="D70"/>
  <c r="E40"/>
  <c r="E41" s="1"/>
  <c r="D204"/>
  <c r="D292" i="2"/>
  <c r="E290"/>
  <c r="E292" s="1"/>
  <c r="D53"/>
  <c r="D295"/>
  <c r="D208" i="11"/>
  <c r="E294" i="2"/>
  <c r="E295" s="1"/>
  <c r="D57"/>
  <c r="D70" i="4"/>
  <c r="D138" i="11" s="1"/>
  <c r="D64" i="4"/>
  <c r="D132" i="11" s="1"/>
  <c r="C97" i="4" l="1"/>
  <c r="C49" i="5"/>
  <c r="C40"/>
  <c r="C34"/>
  <c r="C103" i="4"/>
  <c r="C90"/>
  <c r="C48" i="5"/>
  <c r="C184" i="11" s="1"/>
  <c r="C44" i="5"/>
  <c r="C182" i="11" s="1"/>
  <c r="C35" i="5"/>
  <c r="C97" i="3"/>
  <c r="C96"/>
  <c r="D58" i="2"/>
  <c r="D87"/>
  <c r="E57"/>
  <c r="E58" s="1"/>
  <c r="D83"/>
  <c r="D55"/>
  <c r="E53"/>
  <c r="D245"/>
  <c r="E215"/>
  <c r="D68" i="11"/>
  <c r="E66"/>
  <c r="E244" i="2"/>
  <c r="D71" i="11"/>
  <c r="E70"/>
  <c r="E71" s="1"/>
  <c r="D206"/>
  <c r="E204"/>
  <c r="D249" i="2"/>
  <c r="E248"/>
  <c r="E249" s="1"/>
  <c r="D84"/>
  <c r="E54"/>
  <c r="D209" i="11"/>
  <c r="E209" s="1"/>
  <c r="E208"/>
  <c r="E67"/>
  <c r="E216" i="2"/>
  <c r="E38" i="11"/>
  <c r="E68" l="1"/>
  <c r="E245" i="2"/>
  <c r="C12" i="4"/>
  <c r="C98" i="3"/>
  <c r="C14"/>
  <c r="C185" i="11"/>
  <c r="C50" i="5"/>
  <c r="D85" i="2"/>
  <c r="D113"/>
  <c r="E83"/>
  <c r="C158" i="11"/>
  <c r="C49" i="4"/>
  <c r="C33" s="1"/>
  <c r="D114" i="2"/>
  <c r="E114" s="1"/>
  <c r="E84"/>
  <c r="D88"/>
  <c r="D117"/>
  <c r="E87"/>
  <c r="E88" s="1"/>
  <c r="C13" i="4"/>
  <c r="C15" i="3"/>
  <c r="C171" i="11"/>
  <c r="C52" i="4"/>
  <c r="C36" s="1"/>
  <c r="C165" i="11"/>
  <c r="C51" i="4"/>
  <c r="C35" s="1"/>
  <c r="E246" i="2"/>
  <c r="E55"/>
  <c r="C41" i="5"/>
  <c r="C180" i="11" s="1"/>
  <c r="C179"/>
  <c r="E206"/>
  <c r="C176"/>
  <c r="C36" i="5"/>
  <c r="C177" i="11" s="1"/>
  <c r="C175"/>
  <c r="D246" i="2"/>
  <c r="D115" l="1"/>
  <c r="E113"/>
  <c r="E115" s="1"/>
  <c r="C268"/>
  <c r="D10" i="15"/>
  <c r="C105" i="3"/>
  <c r="C39" i="6"/>
  <c r="C253" i="11"/>
  <c r="D118" i="2"/>
  <c r="E117"/>
  <c r="E118" s="1"/>
  <c r="C16" i="6"/>
  <c r="C266" i="2"/>
  <c r="BJ9" i="15"/>
  <c r="C103" i="3"/>
  <c r="C252" i="11"/>
  <c r="C106" i="3"/>
  <c r="J10" i="15"/>
  <c r="C269" i="2"/>
  <c r="C40" i="6"/>
  <c r="D75" i="4"/>
  <c r="D62"/>
  <c r="D68"/>
  <c r="D100"/>
  <c r="D87"/>
  <c r="D94"/>
  <c r="C186" i="11"/>
  <c r="C187"/>
  <c r="C14" i="4"/>
  <c r="E85" i="2"/>
  <c r="D130" i="11" l="1"/>
  <c r="C107" i="2"/>
  <c r="C90" i="11"/>
  <c r="C41" i="6"/>
  <c r="C92" i="11" s="1"/>
  <c r="C43" i="6"/>
  <c r="D155" i="11"/>
  <c r="D143"/>
  <c r="C22" i="4"/>
  <c r="C22" i="3"/>
  <c r="C40"/>
  <c r="H16" i="8"/>
  <c r="C281" i="2"/>
  <c r="C107" i="3"/>
  <c r="C21" i="4"/>
  <c r="C21" i="3"/>
  <c r="C39"/>
  <c r="D162" i="11"/>
  <c r="D136"/>
  <c r="H19" i="8"/>
  <c r="C284" i="2"/>
  <c r="C19" i="4"/>
  <c r="C19" i="3"/>
  <c r="C37"/>
  <c r="C270" i="2"/>
  <c r="C271" s="1"/>
  <c r="H18" i="8"/>
  <c r="C283" i="2"/>
  <c r="D168" i="11"/>
  <c r="C108" i="2"/>
  <c r="C91" i="11"/>
  <c r="C44" i="6"/>
  <c r="C88" i="11"/>
  <c r="C105" i="2"/>
  <c r="C17" i="6"/>
  <c r="C93" i="11"/>
  <c r="C280" i="2" l="1"/>
  <c r="D220"/>
  <c r="D297"/>
  <c r="D221" s="1"/>
  <c r="D28" i="6"/>
  <c r="C106" i="11"/>
  <c r="C259"/>
  <c r="C121" i="3"/>
  <c r="D61"/>
  <c r="C49" i="6"/>
  <c r="C182" i="2"/>
  <c r="C16" i="7"/>
  <c r="C120" i="2"/>
  <c r="D299"/>
  <c r="C285"/>
  <c r="C286" s="1"/>
  <c r="D223"/>
  <c r="C118" i="3"/>
  <c r="D58"/>
  <c r="C19" i="6"/>
  <c r="D300" i="2"/>
  <c r="D224" s="1"/>
  <c r="C260" i="11"/>
  <c r="C103"/>
  <c r="D13" i="6"/>
  <c r="C105" i="11"/>
  <c r="C45" i="6"/>
  <c r="C107" i="11" s="1"/>
  <c r="D27" i="6"/>
  <c r="C184" i="2"/>
  <c r="C109"/>
  <c r="C19" i="7" s="1"/>
  <c r="C122" i="2"/>
  <c r="C193" i="11"/>
  <c r="C22" i="7" s="1"/>
  <c r="C194" i="11" s="1"/>
  <c r="C9" i="8"/>
  <c r="C185" i="2"/>
  <c r="C123"/>
  <c r="H20" i="8"/>
  <c r="H21" s="1"/>
  <c r="C257" i="11"/>
  <c r="C120" i="3"/>
  <c r="D60"/>
  <c r="C41"/>
  <c r="C122" s="1"/>
  <c r="C48" i="6"/>
  <c r="C23" i="4"/>
  <c r="C108" i="3"/>
  <c r="E224" i="2" l="1"/>
  <c r="D43" i="11"/>
  <c r="D15" i="6"/>
  <c r="E13"/>
  <c r="D225" i="2"/>
  <c r="D226" s="1"/>
  <c r="E223"/>
  <c r="D63"/>
  <c r="C287" i="11"/>
  <c r="D301" i="2"/>
  <c r="E299"/>
  <c r="D62" i="3"/>
  <c r="D90"/>
  <c r="E60"/>
  <c r="C24" i="4"/>
  <c r="C36" i="3"/>
  <c r="C124" i="2"/>
  <c r="C125" s="1"/>
  <c r="D62"/>
  <c r="C186"/>
  <c r="C187" s="1"/>
  <c r="C199"/>
  <c r="D88" i="3"/>
  <c r="E58"/>
  <c r="C197" i="2"/>
  <c r="E221"/>
  <c r="D250"/>
  <c r="E220"/>
  <c r="D60"/>
  <c r="D91" i="3"/>
  <c r="E61"/>
  <c r="C50" i="6"/>
  <c r="C291" i="11" s="1"/>
  <c r="C289"/>
  <c r="C28" i="8"/>
  <c r="M9"/>
  <c r="D35" i="6"/>
  <c r="D29"/>
  <c r="D47" i="11" s="1"/>
  <c r="D45"/>
  <c r="E27" i="6"/>
  <c r="C200" i="2"/>
  <c r="E300"/>
  <c r="C290" i="11"/>
  <c r="D46"/>
  <c r="D36" i="6"/>
  <c r="E28"/>
  <c r="E46" i="11" s="1"/>
  <c r="E297" i="2"/>
  <c r="D302"/>
  <c r="C110"/>
  <c r="C108" i="11"/>
  <c r="E301" i="2" l="1"/>
  <c r="D48" i="11"/>
  <c r="C292"/>
  <c r="D75"/>
  <c r="D37" i="6"/>
  <c r="D77" i="11" s="1"/>
  <c r="E35" i="6"/>
  <c r="D265" i="2"/>
  <c r="E250"/>
  <c r="E88" i="3"/>
  <c r="D140" i="2"/>
  <c r="D137"/>
  <c r="E29" i="6"/>
  <c r="E47" i="11" s="1"/>
  <c r="E45"/>
  <c r="C44" i="8"/>
  <c r="E91" i="3"/>
  <c r="D139" i="2"/>
  <c r="C201"/>
  <c r="C202" s="1"/>
  <c r="D64"/>
  <c r="D65" s="1"/>
  <c r="E62"/>
  <c r="E43" i="11"/>
  <c r="E48"/>
  <c r="E302" i="2"/>
  <c r="E62" i="3"/>
  <c r="E225" i="2"/>
  <c r="E226" s="1"/>
  <c r="D76" i="11"/>
  <c r="E36" i="6"/>
  <c r="E76" i="11" s="1"/>
  <c r="E60" i="2"/>
  <c r="E63"/>
  <c r="D57" i="3"/>
  <c r="D25" i="11" s="1"/>
  <c r="C117" i="3"/>
  <c r="D242" i="11"/>
  <c r="D18" i="2" s="1"/>
  <c r="E242" i="11" s="1"/>
  <c r="D240"/>
  <c r="C42" i="3"/>
  <c r="C123" s="1"/>
  <c r="D236" i="11"/>
  <c r="D237"/>
  <c r="D13" i="2" s="1"/>
  <c r="E237" i="11" s="1"/>
  <c r="D245"/>
  <c r="D243"/>
  <c r="D19" i="2" s="1"/>
  <c r="E243" i="11" s="1"/>
  <c r="D246"/>
  <c r="D22" i="2" s="1"/>
  <c r="E246" i="11" s="1"/>
  <c r="D92" i="3"/>
  <c r="E90"/>
  <c r="E92" s="1"/>
  <c r="D73" i="11"/>
  <c r="E15" i="6"/>
  <c r="D78" i="11"/>
  <c r="C10" i="8"/>
  <c r="E140" i="2" l="1"/>
  <c r="E37" i="6"/>
  <c r="E77" i="11" s="1"/>
  <c r="E75"/>
  <c r="C29" i="8"/>
  <c r="M10"/>
  <c r="C13" s="1"/>
  <c r="E73" i="11"/>
  <c r="D247"/>
  <c r="D21" i="2"/>
  <c r="D241" i="11"/>
  <c r="D16" i="2"/>
  <c r="E265"/>
  <c r="I15" i="8"/>
  <c r="J15" s="1"/>
  <c r="D29" i="11"/>
  <c r="D23"/>
  <c r="D20" i="5"/>
  <c r="D72" i="3"/>
  <c r="C21" i="13"/>
  <c r="D28" i="11"/>
  <c r="D30" s="1"/>
  <c r="E21" i="13" s="1"/>
  <c r="D26" i="11"/>
  <c r="D21" i="13" s="1"/>
  <c r="D238" i="11"/>
  <c r="D12" i="2"/>
  <c r="D141"/>
  <c r="D142" s="1"/>
  <c r="E139"/>
  <c r="D87" i="3"/>
  <c r="E57"/>
  <c r="E63" s="1"/>
  <c r="D63"/>
  <c r="E137" i="2"/>
  <c r="E65"/>
  <c r="E64"/>
  <c r="C32" i="8" l="1"/>
  <c r="M13"/>
  <c r="C15" s="1"/>
  <c r="D24" i="11"/>
  <c r="B21" i="13" s="1"/>
  <c r="A23" s="1"/>
  <c r="D31" i="11" s="1"/>
  <c r="D70" i="3"/>
  <c r="D18" i="5"/>
  <c r="D102" i="3"/>
  <c r="E87"/>
  <c r="D14" i="2"/>
  <c r="E236" i="11"/>
  <c r="D17" i="2"/>
  <c r="E241" i="11" s="1"/>
  <c r="E240"/>
  <c r="E78"/>
  <c r="D21" i="5"/>
  <c r="D115" i="1"/>
  <c r="D116"/>
  <c r="AJ10" i="15"/>
  <c r="E20" i="5"/>
  <c r="E245" i="11"/>
  <c r="D23" i="2"/>
  <c r="E247" i="11" s="1"/>
  <c r="C45" i="8"/>
  <c r="M11"/>
  <c r="E72" i="3"/>
  <c r="D18"/>
  <c r="D256" i="11" s="1"/>
  <c r="E141" i="2"/>
  <c r="E142" s="1"/>
  <c r="D248" i="11"/>
  <c r="C46" i="8" l="1"/>
  <c r="D24" i="5"/>
  <c r="BL8" i="15"/>
  <c r="D239" i="2"/>
  <c r="E116" i="1"/>
  <c r="E24" i="5" s="1"/>
  <c r="C48" i="8"/>
  <c r="M14"/>
  <c r="D18" i="4"/>
  <c r="E102" i="3"/>
  <c r="E18" i="4" s="1"/>
  <c r="AP10" i="15"/>
  <c r="D236" i="2"/>
  <c r="E21" i="5"/>
  <c r="D71" i="3"/>
  <c r="D78" s="1"/>
  <c r="E70"/>
  <c r="E71" s="1"/>
  <c r="E78" s="1"/>
  <c r="D85"/>
  <c r="D23" i="5"/>
  <c r="BF8" i="15"/>
  <c r="D117" i="1"/>
  <c r="D25" i="5" s="1"/>
  <c r="D238" i="2"/>
  <c r="E115" i="1"/>
  <c r="AD10" i="15"/>
  <c r="D19" i="5"/>
  <c r="D26" s="1"/>
  <c r="E18"/>
  <c r="E19" s="1"/>
  <c r="C34" i="8"/>
  <c r="M18"/>
  <c r="M19"/>
  <c r="M16"/>
  <c r="M15"/>
  <c r="C268" i="11" s="1"/>
  <c r="D24" i="2"/>
  <c r="E248" i="11" s="1"/>
  <c r="E238"/>
  <c r="C273" l="1"/>
  <c r="C53" i="8"/>
  <c r="M20"/>
  <c r="C274" i="11"/>
  <c r="C54" i="8"/>
  <c r="C49"/>
  <c r="D78" i="2"/>
  <c r="E239"/>
  <c r="D214" i="11"/>
  <c r="E214" s="1"/>
  <c r="D254" i="2"/>
  <c r="C271" i="11"/>
  <c r="C51" i="8"/>
  <c r="D240" i="2"/>
  <c r="D77"/>
  <c r="E238"/>
  <c r="D253"/>
  <c r="D213" i="11"/>
  <c r="D86" i="3"/>
  <c r="D93" s="1"/>
  <c r="E85"/>
  <c r="E86" s="1"/>
  <c r="E93" s="1"/>
  <c r="D75" i="2"/>
  <c r="D241"/>
  <c r="E236"/>
  <c r="D251"/>
  <c r="D211" i="11"/>
  <c r="B316"/>
  <c r="C269"/>
  <c r="C50" i="8"/>
  <c r="C264" i="11"/>
  <c r="C270"/>
  <c r="C265"/>
  <c r="E23" i="5"/>
  <c r="E117" i="1"/>
  <c r="E25" i="5" s="1"/>
  <c r="B318" i="11" l="1"/>
  <c r="E251" i="2"/>
  <c r="D152"/>
  <c r="E75"/>
  <c r="D90"/>
  <c r="D154"/>
  <c r="D79"/>
  <c r="D80" s="1"/>
  <c r="E77"/>
  <c r="D92"/>
  <c r="B319" i="11"/>
  <c r="C55" i="8"/>
  <c r="B313" i="11"/>
  <c r="E211"/>
  <c r="D191"/>
  <c r="D192" s="1"/>
  <c r="M21" i="8"/>
  <c r="E240" i="2"/>
  <c r="E26" i="5"/>
  <c r="B317" i="11"/>
  <c r="D255" i="2"/>
  <c r="D256" s="1"/>
  <c r="E253"/>
  <c r="B322" i="11"/>
  <c r="C275"/>
  <c r="B321"/>
  <c r="B312"/>
  <c r="C266"/>
  <c r="D215"/>
  <c r="E215" s="1"/>
  <c r="E213"/>
  <c r="E254" i="2"/>
  <c r="D155"/>
  <c r="E78"/>
  <c r="D93"/>
  <c r="E241"/>
  <c r="E79" l="1"/>
  <c r="E93"/>
  <c r="R21" i="8"/>
  <c r="C72" s="1"/>
  <c r="C56"/>
  <c r="R9"/>
  <c r="C60" s="1"/>
  <c r="R10"/>
  <c r="C61" s="1"/>
  <c r="R11"/>
  <c r="C62" s="1"/>
  <c r="R13"/>
  <c r="C64" s="1"/>
  <c r="R14"/>
  <c r="C65" s="1"/>
  <c r="R18"/>
  <c r="C69" s="1"/>
  <c r="R16"/>
  <c r="C67" s="1"/>
  <c r="R19"/>
  <c r="C70" s="1"/>
  <c r="R15"/>
  <c r="C66" s="1"/>
  <c r="E90" i="2"/>
  <c r="E155"/>
  <c r="D170"/>
  <c r="B323" i="11"/>
  <c r="C276"/>
  <c r="C307" s="1"/>
  <c r="E255" i="2"/>
  <c r="E256" s="1"/>
  <c r="R20" i="8"/>
  <c r="C71" s="1"/>
  <c r="E80" i="2"/>
  <c r="D94"/>
  <c r="D95" s="1"/>
  <c r="E92"/>
  <c r="D156"/>
  <c r="E154"/>
  <c r="E156" s="1"/>
  <c r="D169"/>
  <c r="D157"/>
  <c r="E152"/>
  <c r="D167"/>
  <c r="B314" i="11"/>
  <c r="D63" i="4"/>
  <c r="D69"/>
  <c r="D76"/>
  <c r="D216" i="11"/>
  <c r="E216" s="1"/>
  <c r="E167" i="2" l="1"/>
  <c r="C308" i="11"/>
  <c r="C300"/>
  <c r="C303"/>
  <c r="C297"/>
  <c r="C301"/>
  <c r="C305"/>
  <c r="C302"/>
  <c r="C306"/>
  <c r="C296"/>
  <c r="E170" i="2"/>
  <c r="B324" i="11"/>
  <c r="D171" i="2"/>
  <c r="D172" s="1"/>
  <c r="E169"/>
  <c r="D137" i="11"/>
  <c r="D45" i="4"/>
  <c r="D29" s="1"/>
  <c r="E157" i="2"/>
  <c r="D144" i="11"/>
  <c r="D47" i="4"/>
  <c r="D31" s="1"/>
  <c r="D131" i="11"/>
  <c r="D44" i="4"/>
  <c r="D28" s="1"/>
  <c r="C298" i="11"/>
  <c r="E94" i="2"/>
  <c r="E95" s="1"/>
  <c r="AT9" i="15" l="1"/>
  <c r="D82" i="11"/>
  <c r="D260" i="2"/>
  <c r="D100" i="3"/>
  <c r="AZ9" i="15"/>
  <c r="D263" i="2"/>
  <c r="D85" i="11"/>
  <c r="AN9" i="15"/>
  <c r="D259" i="2"/>
  <c r="D81" i="11"/>
  <c r="E171" i="2"/>
  <c r="E172" s="1"/>
  <c r="D83" i="11" l="1"/>
  <c r="E81"/>
  <c r="D96"/>
  <c r="D264" i="2"/>
  <c r="E263"/>
  <c r="E264" s="1"/>
  <c r="I13" i="8"/>
  <c r="D278" i="2"/>
  <c r="D86" i="11"/>
  <c r="E85"/>
  <c r="E86" s="1"/>
  <c r="D100"/>
  <c r="E82"/>
  <c r="D97"/>
  <c r="E97" s="1"/>
  <c r="D101" i="3"/>
  <c r="D17" i="4" s="1"/>
  <c r="D16"/>
  <c r="E100" i="3"/>
  <c r="D17"/>
  <c r="D255" i="11" s="1"/>
  <c r="D34" i="3"/>
  <c r="E260" i="2"/>
  <c r="I10" i="8"/>
  <c r="D275" i="2"/>
  <c r="D261"/>
  <c r="E259"/>
  <c r="E261" s="1"/>
  <c r="I9" i="8"/>
  <c r="D274" i="2"/>
  <c r="E83" i="11" l="1"/>
  <c r="D35" i="3"/>
  <c r="D115"/>
  <c r="E34"/>
  <c r="D101" i="11"/>
  <c r="E100"/>
  <c r="E101" s="1"/>
  <c r="I14" i="8"/>
  <c r="D83" s="1"/>
  <c r="D82"/>
  <c r="J13"/>
  <c r="I11"/>
  <c r="D76"/>
  <c r="J9"/>
  <c r="D77"/>
  <c r="J10"/>
  <c r="E77" s="1"/>
  <c r="E101" i="3"/>
  <c r="E17" i="4" s="1"/>
  <c r="E16"/>
  <c r="D279" i="2"/>
  <c r="E278"/>
  <c r="E279" s="1"/>
  <c r="D98" i="11"/>
  <c r="E96"/>
  <c r="E98" s="1"/>
  <c r="D276" i="2"/>
  <c r="E274"/>
  <c r="E275"/>
  <c r="E276" l="1"/>
  <c r="D78" i="8"/>
  <c r="D181" i="11"/>
  <c r="E82" i="8"/>
  <c r="J14"/>
  <c r="E83" s="1"/>
  <c r="D116" i="3"/>
  <c r="E76" i="8"/>
  <c r="J11"/>
  <c r="E35" i="3"/>
  <c r="E115"/>
  <c r="E78" i="8" l="1"/>
  <c r="D40" i="5"/>
  <c r="D97" i="4"/>
  <c r="E181" i="11"/>
  <c r="D103" i="4"/>
  <c r="D34" i="5"/>
  <c r="D44"/>
  <c r="D49"/>
  <c r="D48"/>
  <c r="D90" i="4"/>
  <c r="D35" i="5"/>
  <c r="D97" i="3"/>
  <c r="D96"/>
  <c r="E116"/>
  <c r="E35" i="5" l="1"/>
  <c r="D176" i="11"/>
  <c r="D36" i="5"/>
  <c r="D177" i="11" s="1"/>
  <c r="D171"/>
  <c r="D52" i="4"/>
  <c r="D36" s="1"/>
  <c r="D41" i="5"/>
  <c r="D180" i="11" s="1"/>
  <c r="E40" i="5"/>
  <c r="D179" i="11"/>
  <c r="D98" i="3"/>
  <c r="D12" i="4"/>
  <c r="E96" i="3"/>
  <c r="D14"/>
  <c r="D252" i="11" s="1"/>
  <c r="E48" i="5"/>
  <c r="E184" i="11" s="1"/>
  <c r="D184"/>
  <c r="D158"/>
  <c r="D49" i="4"/>
  <c r="D33" s="1"/>
  <c r="E44" i="5"/>
  <c r="E182" i="11" s="1"/>
  <c r="D182"/>
  <c r="D50" i="5"/>
  <c r="E49"/>
  <c r="D185" i="11"/>
  <c r="D13" i="4"/>
  <c r="E97" i="3"/>
  <c r="E13" i="4" s="1"/>
  <c r="D15" i="3"/>
  <c r="D253" i="11" s="1"/>
  <c r="D175"/>
  <c r="E34" i="5"/>
  <c r="E175" i="11" s="1"/>
  <c r="D165"/>
  <c r="D51" i="4"/>
  <c r="D35" s="1"/>
  <c r="D266" i="2" l="1"/>
  <c r="D103" i="3"/>
  <c r="D16" i="6"/>
  <c r="BL9" i="15"/>
  <c r="D39" i="6"/>
  <c r="F10" i="15"/>
  <c r="D105" i="3"/>
  <c r="D268" i="2"/>
  <c r="D14" i="4"/>
  <c r="D106" i="3"/>
  <c r="D40" i="6"/>
  <c r="L10" i="15"/>
  <c r="D269" i="2"/>
  <c r="E50" i="5"/>
  <c r="E186" i="11" s="1"/>
  <c r="E185"/>
  <c r="E36" i="5"/>
  <c r="E177" i="11" s="1"/>
  <c r="E176"/>
  <c r="D186"/>
  <c r="D187"/>
  <c r="E187" s="1"/>
  <c r="E98" i="3"/>
  <c r="E12" i="4"/>
  <c r="E41" i="5"/>
  <c r="E180" i="11" s="1"/>
  <c r="E179"/>
  <c r="E14" i="4" l="1"/>
  <c r="D41" i="6"/>
  <c r="D92" i="11" s="1"/>
  <c r="D90"/>
  <c r="D107" i="2"/>
  <c r="E39" i="6"/>
  <c r="D43"/>
  <c r="E266" i="2"/>
  <c r="I16" i="8"/>
  <c r="D281" i="2"/>
  <c r="E281" s="1"/>
  <c r="E269"/>
  <c r="I19" i="8"/>
  <c r="J19" s="1"/>
  <c r="D284" i="2"/>
  <c r="E284" s="1"/>
  <c r="D22" i="4"/>
  <c r="E106" i="3"/>
  <c r="E22" i="4" s="1"/>
  <c r="D22" i="3"/>
  <c r="D260" i="11" s="1"/>
  <c r="D40" i="3"/>
  <c r="D21" i="4"/>
  <c r="D107" i="3"/>
  <c r="E105"/>
  <c r="D21"/>
  <c r="D259" i="11" s="1"/>
  <c r="D39" i="3"/>
  <c r="D105" i="2"/>
  <c r="D88" i="11"/>
  <c r="E16" i="6"/>
  <c r="D17"/>
  <c r="D93" i="11"/>
  <c r="D19" i="4"/>
  <c r="E103" i="3"/>
  <c r="E19" i="4" s="1"/>
  <c r="D19" i="3"/>
  <c r="D257" i="11" s="1"/>
  <c r="D37" i="3"/>
  <c r="D91" i="11"/>
  <c r="D108" i="2"/>
  <c r="E40" i="6"/>
  <c r="E91" i="11" s="1"/>
  <c r="D44" i="6"/>
  <c r="D270" i="2"/>
  <c r="D271" s="1"/>
  <c r="E268"/>
  <c r="E270" s="1"/>
  <c r="I18" i="8"/>
  <c r="D283" i="2"/>
  <c r="D280" l="1"/>
  <c r="E280" s="1"/>
  <c r="E286" s="1"/>
  <c r="D184"/>
  <c r="D109"/>
  <c r="D19" i="7" s="1"/>
  <c r="E107" i="2"/>
  <c r="D122"/>
  <c r="E88" i="11"/>
  <c r="D121" i="3"/>
  <c r="E40"/>
  <c r="E121" s="1"/>
  <c r="D49" i="6"/>
  <c r="I20" i="8"/>
  <c r="I21" s="1"/>
  <c r="J18"/>
  <c r="J20" s="1"/>
  <c r="D103" i="11"/>
  <c r="E17" i="6"/>
  <c r="D108" i="11"/>
  <c r="D41" i="3"/>
  <c r="D122" s="1"/>
  <c r="D120"/>
  <c r="E39"/>
  <c r="D48" i="6"/>
  <c r="D45"/>
  <c r="D107" i="11" s="1"/>
  <c r="D105"/>
  <c r="E43" i="6"/>
  <c r="E107" i="3"/>
  <c r="E21" i="4"/>
  <c r="J16" i="8"/>
  <c r="D185" i="2"/>
  <c r="E108"/>
  <c r="D123"/>
  <c r="E123" s="1"/>
  <c r="E41" i="6"/>
  <c r="E92" i="11" s="1"/>
  <c r="E90"/>
  <c r="D285" i="2"/>
  <c r="D286" s="1"/>
  <c r="E283"/>
  <c r="E285" s="1"/>
  <c r="D106" i="11"/>
  <c r="E44" i="6"/>
  <c r="E106" i="11" s="1"/>
  <c r="D118" i="3"/>
  <c r="E37"/>
  <c r="E118" s="1"/>
  <c r="D19" i="6"/>
  <c r="D193" i="11"/>
  <c r="D22" i="7" s="1"/>
  <c r="D194" i="11" s="1"/>
  <c r="D9" i="8"/>
  <c r="D16" i="7"/>
  <c r="D182" i="2"/>
  <c r="D110"/>
  <c r="E105"/>
  <c r="D120"/>
  <c r="D23" i="4"/>
  <c r="D108" i="3"/>
  <c r="E271" i="2"/>
  <c r="E109" l="1"/>
  <c r="E19" i="7" s="1"/>
  <c r="E120" i="2"/>
  <c r="E182"/>
  <c r="D197"/>
  <c r="E23" i="4"/>
  <c r="E108" i="3"/>
  <c r="E24" i="4" s="1"/>
  <c r="D24"/>
  <c r="D36" i="3"/>
  <c r="E16" i="7"/>
  <c r="E110" i="2"/>
  <c r="D28" i="8"/>
  <c r="N9"/>
  <c r="D124" i="2"/>
  <c r="D125" s="1"/>
  <c r="E122"/>
  <c r="E124" s="1"/>
  <c r="D186"/>
  <c r="D187" s="1"/>
  <c r="E184"/>
  <c r="D199"/>
  <c r="J21" i="8"/>
  <c r="D287" i="11"/>
  <c r="E19" i="6"/>
  <c r="E287" i="11" s="1"/>
  <c r="E185" i="2"/>
  <c r="D200"/>
  <c r="D50" i="6"/>
  <c r="D291" i="11" s="1"/>
  <c r="D289"/>
  <c r="E48" i="6"/>
  <c r="E105" i="11"/>
  <c r="E45" i="6"/>
  <c r="E107" i="11" s="1"/>
  <c r="E120" i="3"/>
  <c r="E41"/>
  <c r="E122" s="1"/>
  <c r="E103" i="11"/>
  <c r="E108"/>
  <c r="D290"/>
  <c r="E49" i="6"/>
  <c r="E290" i="11" s="1"/>
  <c r="E93"/>
  <c r="D292" l="1"/>
  <c r="E292" s="1"/>
  <c r="E125" i="2"/>
  <c r="D117" i="3"/>
  <c r="E36"/>
  <c r="D42"/>
  <c r="D123" s="1"/>
  <c r="B19" i="2"/>
  <c r="E197"/>
  <c r="E289" i="11"/>
  <c r="E50" i="6"/>
  <c r="E291" i="11" s="1"/>
  <c r="D44" i="8"/>
  <c r="B21" i="2"/>
  <c r="D201"/>
  <c r="E199"/>
  <c r="B22"/>
  <c r="E200"/>
  <c r="E186"/>
  <c r="E187" s="1"/>
  <c r="D10" i="8"/>
  <c r="D29" l="1"/>
  <c r="N10"/>
  <c r="D13" s="1"/>
  <c r="E117" i="3"/>
  <c r="E42"/>
  <c r="E123" s="1"/>
  <c r="E201" i="2"/>
  <c r="E202" s="1"/>
  <c r="B23"/>
  <c r="B24" s="1"/>
  <c r="D202"/>
  <c r="D32" i="8" l="1"/>
  <c r="N13"/>
  <c r="D15" s="1"/>
  <c r="D45"/>
  <c r="N11"/>
  <c r="D34" l="1"/>
  <c r="N19"/>
  <c r="N15"/>
  <c r="N18"/>
  <c r="N16"/>
  <c r="D46"/>
  <c r="N14"/>
  <c r="D268" i="11"/>
  <c r="D48" i="8"/>
  <c r="D49" l="1"/>
  <c r="D51"/>
  <c r="D271" i="11"/>
  <c r="D274"/>
  <c r="D54" i="8"/>
  <c r="F16" i="2"/>
  <c r="D316" i="11"/>
  <c r="D317" s="1"/>
  <c r="D269"/>
  <c r="C316"/>
  <c r="J16" i="2"/>
  <c r="D50" i="8"/>
  <c r="D264" i="11"/>
  <c r="D270"/>
  <c r="D265"/>
  <c r="D53" i="8"/>
  <c r="D273" i="11"/>
  <c r="N20" i="8"/>
  <c r="F12" i="2" l="1"/>
  <c r="C312" i="11"/>
  <c r="D266"/>
  <c r="D312"/>
  <c r="J12" i="2"/>
  <c r="C317" i="11"/>
  <c r="B36" i="2" s="1"/>
  <c r="B35"/>
  <c r="D35"/>
  <c r="D36" s="1"/>
  <c r="F19"/>
  <c r="C319" i="11"/>
  <c r="D319"/>
  <c r="J19" i="2"/>
  <c r="D275" i="11"/>
  <c r="F21" i="2"/>
  <c r="C321" i="11"/>
  <c r="D321"/>
  <c r="J21" i="2"/>
  <c r="C318" i="11"/>
  <c r="D318"/>
  <c r="F18" i="2"/>
  <c r="J18"/>
  <c r="F22"/>
  <c r="C322" i="11"/>
  <c r="D322"/>
  <c r="J22" i="2"/>
  <c r="D55" i="8"/>
  <c r="F13" i="2"/>
  <c r="D313" i="11"/>
  <c r="C313"/>
  <c r="J13" i="2"/>
  <c r="F17"/>
  <c r="J17"/>
  <c r="N21" i="8"/>
  <c r="D314" i="11" l="1"/>
  <c r="S21" i="8"/>
  <c r="D72" s="1"/>
  <c r="D56"/>
  <c r="S9"/>
  <c r="D60" s="1"/>
  <c r="S10"/>
  <c r="D61" s="1"/>
  <c r="S11"/>
  <c r="D62" s="1"/>
  <c r="S13"/>
  <c r="D64" s="1"/>
  <c r="S16"/>
  <c r="D67" s="1"/>
  <c r="S15"/>
  <c r="D66" s="1"/>
  <c r="S19"/>
  <c r="D70" s="1"/>
  <c r="S14"/>
  <c r="D65" s="1"/>
  <c r="S18"/>
  <c r="D69" s="1"/>
  <c r="B37" i="2"/>
  <c r="D37"/>
  <c r="C323" i="11"/>
  <c r="D40" i="2"/>
  <c r="B40"/>
  <c r="C314" i="11"/>
  <c r="B31" i="2"/>
  <c r="D31"/>
  <c r="F23"/>
  <c r="J23"/>
  <c r="B32"/>
  <c r="D32"/>
  <c r="D41"/>
  <c r="B41"/>
  <c r="B38"/>
  <c r="D38"/>
  <c r="F14"/>
  <c r="D276" i="11"/>
  <c r="J14" i="2"/>
  <c r="D323" i="11"/>
  <c r="D324" s="1"/>
  <c r="S20" i="8"/>
  <c r="D71" s="1"/>
  <c r="D33" i="2" l="1"/>
  <c r="D42"/>
  <c r="F24"/>
  <c r="D308" i="11"/>
  <c r="H24" i="2" s="1"/>
  <c r="J24"/>
  <c r="D300" i="11"/>
  <c r="H16" i="2" s="1"/>
  <c r="D305" i="11"/>
  <c r="H21" i="2" s="1"/>
  <c r="D296" i="11"/>
  <c r="H12" i="2" s="1"/>
  <c r="D301" i="11"/>
  <c r="H17" i="2" s="1"/>
  <c r="D303" i="11"/>
  <c r="H19" i="2" s="1"/>
  <c r="D306" i="11"/>
  <c r="H22" i="2" s="1"/>
  <c r="D297" i="11"/>
  <c r="H13" i="2" s="1"/>
  <c r="D302" i="11"/>
  <c r="H18" i="2" s="1"/>
  <c r="C324" i="11"/>
  <c r="B43" i="2" s="1"/>
  <c r="B33"/>
  <c r="D298" i="11"/>
  <c r="H14" i="2" s="1"/>
  <c r="D307" i="11"/>
  <c r="H23" i="2" s="1"/>
  <c r="B42"/>
  <c r="D43" l="1"/>
</calcChain>
</file>

<file path=xl/comments1.xml><?xml version="1.0" encoding="utf-8"?>
<comments xmlns="http://schemas.openxmlformats.org/spreadsheetml/2006/main">
  <authors>
    <author>VISTA$</author>
  </authors>
  <commentList>
    <comment ref="A8" authorId="0">
      <text>
        <r>
          <rPr>
            <b/>
            <sz val="8"/>
            <rFont val="Arial"/>
            <family val="2"/>
          </rPr>
          <t>Name of the company
(variable Company_Name)</t>
        </r>
      </text>
    </comment>
    <comment ref="A14" authorId="0">
      <text>
        <r>
          <rPr>
            <b/>
            <sz val="8"/>
            <rFont val="Arial"/>
            <family val="2"/>
          </rPr>
          <t>Date of each investment round
(variable Event_Date_Sc0)</t>
        </r>
      </text>
    </comment>
    <comment ref="A21" authorId="0">
      <text>
        <r>
          <rPr>
            <b/>
            <sz val="8"/>
            <rFont val="Arial"/>
            <family val="2"/>
          </rPr>
          <t>Valuation of the firm at the start of each
investment round
(variable Firm_Value_Start_Sc0)</t>
        </r>
      </text>
    </comment>
    <comment ref="A31" author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A37" authorId="0">
      <text>
        <r>
          <rPr>
            <b/>
            <sz val="8"/>
            <rFont val="Arial"/>
            <family val="2"/>
          </rPr>
          <t>The discount percent on prevailing common share
price that accrue to holders of each series of
convertible security at the time of conversion or
exercise. This discount is a reward for investing
early when the risk was presumed higher.
(variable ConvNote_Discount_pct)</t>
        </r>
      </text>
    </comment>
    <comment ref="D37" authorId="0">
      <text>
        <r>
          <rPr>
            <b/>
            <sz val="8"/>
            <rFont val="Arial"/>
            <family val="2"/>
          </rPr>
          <t>The multiple of new investment that is added to
liquidation preference for each class of security,
in each investment round
(variable Liq_Multiple)</t>
        </r>
      </text>
    </comment>
    <comment ref="A41" authorId="0">
      <text>
        <r>
          <rPr>
            <b/>
            <sz val="8"/>
            <rFont val="Arial"/>
            <family val="2"/>
          </rPr>
          <t>Dividend rate for preferred stock, and interest
rate paid on convertible notes before conversion
(variable Dividend_pct_Yr)</t>
        </r>
      </text>
    </comment>
    <comment ref="A46" author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D46" author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A50" author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D50" authorId="0">
      <text>
        <r>
          <rPr>
            <b/>
            <sz val="8"/>
            <rFont val="Arial"/>
            <family val="2"/>
          </rPr>
          <t>Conversion of securities to common stock must
produce this value premium over liquidation
preference, in order for the default conversion
condition to be satisfied. If &lt; 0, then the
company has the right to convert the security to
common stock when all the conditions are met.
(variable Convert_Liq_Premium_pct)</t>
        </r>
      </text>
    </comment>
    <comment ref="A55" authorId="0">
      <text>
        <r>
          <rPr>
            <b/>
            <sz val="8"/>
            <rFont val="Arial"/>
            <family val="2"/>
          </rPr>
          <t>Annualized discount rates used in computation of
present values of investor cash flows
(variable Discount_Rate_Yr)</t>
        </r>
      </text>
    </comment>
    <comment ref="D55" authorId="0">
      <text>
        <r>
          <rPr>
            <b/>
            <sz val="8"/>
            <rFont val="Arial"/>
            <family val="2"/>
          </rPr>
          <t>Initial guess at internal rate of return of the
cash flow for holders of each series and type of
security, to start the iterative solution for the
IRR
(variable IRR_Initial_Guess_Yr)</t>
        </r>
      </text>
    </comment>
    <comment ref="A67" authorId="0">
      <text>
        <r>
          <rPr>
            <b/>
            <sz val="8"/>
            <rFont val="Arial"/>
            <family val="2"/>
          </rPr>
          <t>Price premium for a preferred share unit over
common stock at time of purchase. The premium
reflects the contingent value of preference
payments and preference dividends.
(variable Price_Premium_pct)</t>
        </r>
      </text>
    </comment>
    <comment ref="A70" author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A74" authorId="0">
      <text>
        <r>
          <rPr>
            <b/>
            <sz val="8"/>
            <rFont val="Arial"/>
            <family val="2"/>
          </rPr>
          <t>The multiple of new investment that is added to
liquidation preference for each class of security,
in each investment round
(variable Liq_Multiple)</t>
        </r>
      </text>
    </comment>
    <comment ref="D74" authorId="0">
      <text>
        <r>
          <rPr>
            <b/>
            <sz val="8"/>
            <rFont val="Arial"/>
            <family val="2"/>
          </rPr>
          <t>Dividend rate for preferred stock, and interest
rate paid on convertible notes before conversion
(variable Dividend_pct_Yr)</t>
        </r>
      </text>
    </comment>
    <comment ref="A78" author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D78" author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A81" author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D81" authorId="0">
      <text>
        <r>
          <rPr>
            <b/>
            <sz val="8"/>
            <rFont val="Arial"/>
            <family val="2"/>
          </rPr>
          <t>Conversion of securities to common stock must
produce this value premium over liquidation
preference, in order for the default conversion
condition to be satisfied. If &lt; 0, then the
company has the right to convert the security to
common stock when all the conditions are met.
(variable Convert_Liq_Premium_pct)</t>
        </r>
      </text>
    </comment>
    <comment ref="A85" authorId="0">
      <text>
        <r>
          <rPr>
            <b/>
            <sz val="8"/>
            <rFont val="Arial"/>
            <family val="2"/>
          </rPr>
          <t>Annualized discount rates used in computation of
present values of investor cash flows
(variable Discount_Rate_Yr)</t>
        </r>
      </text>
    </comment>
    <comment ref="D85" authorId="0">
      <text>
        <r>
          <rPr>
            <b/>
            <sz val="8"/>
            <rFont val="Arial"/>
            <family val="2"/>
          </rPr>
          <t>Annualized discount rates used in computation of
present values of investor cash flows
(variable Discount_Rate_Yr)</t>
        </r>
      </text>
    </comment>
    <comment ref="A92" authorId="0">
      <text>
        <r>
          <rPr>
            <b/>
            <sz val="8"/>
            <rFont val="Arial"/>
            <family val="2"/>
          </rPr>
          <t>Initial common share price at the start of the
seed round
(variable Price_Common_Init)</t>
        </r>
      </text>
    </comment>
    <comment ref="A95" author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A97" authorId="0">
      <text>
        <r>
          <rPr>
            <b/>
            <sz val="8"/>
            <rFont val="Arial"/>
            <family val="2"/>
          </rPr>
          <t>Factor by which common shares are split before the
start of each investment round
(variable Split_Factor_Start)</t>
        </r>
      </text>
    </comment>
    <comment ref="A99" authorId="0">
      <text>
        <r>
          <rPr>
            <b/>
            <sz val="8"/>
            <rFont val="Arial"/>
            <family val="2"/>
          </rPr>
          <t>Dividend paid on common stock, paid at the
beginning of each investment round
(variable Dividend_Common)</t>
        </r>
      </text>
    </comment>
    <comment ref="A102" authorId="0">
      <text>
        <r>
          <rPr>
            <b/>
            <sz val="8"/>
            <rFont val="Arial"/>
            <family val="2"/>
          </rPr>
          <t>Annualized discount rates used in computation of
present values of investor cash flows
(variable Discount_Rate_Yr)</t>
        </r>
      </text>
    </comment>
    <comment ref="D102" authorId="0">
      <text>
        <r>
          <rPr>
            <b/>
            <sz val="8"/>
            <rFont val="Arial"/>
            <family val="2"/>
          </rPr>
          <t>Initial guess at internal rate of return of the
cash flow for holders of each series and type of
security, to start the iterative solution for the
IRR
(variable IRR_Initial_Guess_Yr)</t>
        </r>
      </text>
    </comment>
    <comment ref="A109" authorId="0">
      <text>
        <r>
          <rPr>
            <b/>
            <sz val="8"/>
            <rFont val="Arial"/>
            <family val="2"/>
          </rPr>
          <t>Ratio (price at which new units are purchased) /
(common share price - exercise price).
(variable Price_Unit_New_pct)</t>
        </r>
      </text>
    </comment>
    <comment ref="A114" authorId="0">
      <text>
        <r>
          <rPr>
            <b/>
            <sz val="8"/>
            <rFont val="Arial"/>
            <family val="2"/>
          </rPr>
          <t>Price at which new warrants and options are
purchased. Warrant and option prices are based on
current stock price, ignoring the variance of
stock price over time.
(variable Price_Unit_New)</t>
        </r>
      </text>
    </comment>
    <comment ref="A119" authorId="0">
      <text>
        <r>
          <rPr>
            <b/>
            <sz val="8"/>
            <rFont val="Arial"/>
            <family val="2"/>
          </rPr>
          <t>Numbers of new warrants and options sold, by
investment round, for investment scenario 1. Sales
of new convertible notes, preferred stock and
common stock are input as new investment, from
which new shares are computed.
(variable Units_New_Sc0)</t>
        </r>
      </text>
    </comment>
    <comment ref="A125" authorId="0">
      <text>
        <r>
          <rPr>
            <b/>
            <sz val="8"/>
            <rFont val="Arial"/>
            <family val="2"/>
          </rPr>
          <t>Exercise price for each class of stock option.
Upon exercise of a warrant or option, the holder
pays the exercise price to the company in cash,
which amount is added to Investment by Origin for
the warrant or option, and added to Net Investment
for common stock.
(variable OptionWar_Exercise_Price)</t>
        </r>
      </text>
    </comment>
    <comment ref="D125" author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A129" author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D129" author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A135" authorId="0">
      <text>
        <r>
          <rPr>
            <b/>
            <sz val="8"/>
            <rFont val="Arial"/>
            <family val="2"/>
          </rPr>
          <t>Annualized discount rates used in computation of
present values of investor cash flows
(variable Discount_Rate_Yr)</t>
        </r>
      </text>
    </comment>
    <comment ref="D135" authorId="0">
      <text>
        <r>
          <rPr>
            <b/>
            <sz val="8"/>
            <rFont val="Arial"/>
            <family val="2"/>
          </rPr>
          <t>Initial guess at internal rate of return of the
cash flow for holders of each series and type of
security, to start the iterative solution for the
IRR
(variable IRR_Initial_Guess_Yr)</t>
        </r>
      </text>
    </comment>
  </commentList>
</comments>
</file>

<file path=xl/comments10.xml><?xml version="1.0" encoding="utf-8"?>
<comments xmlns="http://schemas.openxmlformats.org/spreadsheetml/2006/main">
  <authors>
    <author>VISTA$</author>
  </authors>
  <commentList>
    <comment ref="A7" authorId="0">
      <text>
        <r>
          <rPr>
            <b/>
            <sz val="8"/>
            <rFont val="Arial"/>
            <family val="2"/>
          </rPr>
          <t>The discount percent on prevailing common share
price that accrue to holders of each series of
convertible security at the time of conversion or
exercise. This discount is a reward for investing
early when the risk was presumed higher.
(variable ConvNote_Discount_pct)</t>
        </r>
      </text>
    </comment>
    <comment ref="C7" author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E7" author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G7" author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A19" authorId="0">
      <text>
        <r>
          <rPr>
            <b/>
            <sz val="8"/>
            <rFont val="Arial"/>
            <family val="2"/>
          </rPr>
          <t>Dividend rate for preferred stock, and interest
rate paid on convertible notes before conversion
(variable Dividend_pct_Yr)</t>
        </r>
      </text>
    </comment>
    <comment ref="C19" authorId="0">
      <text>
        <r>
          <rPr>
            <b/>
            <sz val="8"/>
            <rFont val="Arial"/>
            <family val="2"/>
          </rPr>
          <t>Ratio (price at which new units are purchased) /
(common share price - exercise price).
(variable Price_Unit_New_pct)</t>
        </r>
      </text>
    </comment>
    <comment ref="E19" authorId="0">
      <text>
        <r>
          <rPr>
            <b/>
            <sz val="8"/>
            <rFont val="Arial"/>
            <family val="2"/>
          </rPr>
          <t>The multiple of new investment that is added to
liquidation preference for each class of security,
in each investment round
(variable Liq_Multiple)</t>
        </r>
      </text>
    </comment>
    <comment ref="G19" authorId="0">
      <text>
        <r>
          <rPr>
            <b/>
            <sz val="8"/>
            <rFont val="Arial"/>
            <family val="2"/>
          </rPr>
          <t>Conversion of securities to common stock must
produce this value premium over liquidation
preference, in order for the default conversion
condition to be satisfied. If &lt; 0, then the
company has the right to convert the security to
common stock when all the conditions are met.
(variable Convert_Liq_Premium_pct)</t>
        </r>
      </text>
    </comment>
    <comment ref="A33" authorId="0">
      <text>
        <r>
          <rPr>
            <b/>
            <sz val="8"/>
            <rFont val="Arial"/>
            <family val="2"/>
          </rPr>
          <t>Price premium for a preferred share unit over
common stock at time of purchase. The premium
reflects the contingent value of preference
payments and preference dividends.
(variable Price_Premium_pct)</t>
        </r>
      </text>
    </comment>
    <comment ref="A45" author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A61" authorId="0">
      <text>
        <r>
          <rPr>
            <b/>
            <sz val="8"/>
            <rFont val="Arial"/>
            <family val="2"/>
          </rPr>
          <t>Numbers of new warrants and options sold, by
investment round, for investment scenario 1. Sales
of new convertible notes, preferred stock and
common stock are input as new investment, from
which new shares are computed.
(variable Units_New_Sc0)</t>
        </r>
      </text>
    </comment>
    <comment ref="A78" authorId="0">
      <text>
        <r>
          <rPr>
            <b/>
            <sz val="8"/>
            <rFont val="Arial"/>
            <family val="2"/>
          </rPr>
          <t>Initial guess at internal rate of return of the
cash flow for holders of each series and type of
security, to start the iterative solution for the
IRR
(variable IRR_Initial_Guess_Yr)</t>
        </r>
      </text>
    </comment>
  </commentList>
</comments>
</file>

<file path=xl/comments11.xml><?xml version="1.0" encoding="utf-8"?>
<comments xmlns="http://schemas.openxmlformats.org/spreadsheetml/2006/main">
  <authors>
    <author>VISTA$</author>
  </authors>
  <commentList>
    <comment ref="A4" authorId="0">
      <text>
        <r>
          <rPr>
            <b/>
            <sz val="8"/>
            <rFont val="Arial"/>
            <family val="2"/>
          </rPr>
          <t>Exercise price for each class of stock option.
Upon exercise of a warrant or option, the holder
pays the exercise price to the company in cash,
which amount is added to Investment by Origin for
the warrant or option, and added to Net Investment
for common stock.
(variable OptionWar_Exercise_Price)</t>
        </r>
      </text>
    </comment>
    <comment ref="A16" authorId="0">
      <text>
        <r>
          <rPr>
            <b/>
            <sz val="8"/>
            <rFont val="Arial"/>
            <family val="2"/>
          </rPr>
          <t>The price of each type of security at the start of
each investment round. Prices for sale of new
securities in general differ from prices for
conversion or exercise of securities in
transactions at a later phase. These prices for
unexercised options do not account for effects of
stock volatility etc. in option pricing models. 
(variable Price_Unit_Start)</t>
        </r>
      </text>
    </comment>
    <comment ref="A32" authorId="0">
      <text>
        <r>
          <rPr>
            <b/>
            <sz val="8"/>
            <rFont val="Arial"/>
            <family val="2"/>
          </rPr>
          <t>The amount of exercise payments due upon exercise
of outstanding warrants and options. For Phase
Convert, the amount of exercise payments made to
exercise warrants and options in each round.
(variable OptionWar_Exercise_Amt)</t>
        </r>
      </text>
    </comment>
    <comment ref="A109" authorId="0">
      <text>
        <r>
          <rPr>
            <b/>
            <sz val="8"/>
            <rFont val="Arial"/>
            <family val="2"/>
          </rPr>
          <t>Numbers of new warrants and options sold, by
investment round. Sales of new convertible notes,
preferred stock and common stock are input as new
investment, from which new shares are computed.
(variable Units_New)</t>
        </r>
      </text>
    </comment>
    <comment ref="A125" authorId="0">
      <text>
        <r>
          <rPr>
            <b/>
            <sz val="8"/>
            <rFont val="Arial"/>
            <family val="2"/>
          </rPr>
          <t>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
(variable Conversion_Decisions_Detail)</t>
        </r>
      </text>
    </comment>
    <comment ref="A172" author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A188" authorId="0">
      <text>
        <r>
          <rPr>
            <b/>
            <sz val="8"/>
            <rFont val="Arial"/>
            <family val="2"/>
          </rPr>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
(variable Firm_Value)</t>
        </r>
      </text>
    </comment>
    <comment ref="A195" authorId="0">
      <text>
        <r>
          <rPr>
            <b/>
            <sz val="8"/>
            <rFont val="Arial"/>
            <family val="2"/>
          </rPr>
          <t>Valuation of the firm at the start of each
investment round
(variable Firm_Value_Start)</t>
        </r>
      </text>
    </comment>
    <comment ref="A201" authorId="0">
      <text>
        <r>
          <rPr>
            <b/>
            <sz val="8"/>
            <rFont val="Arial"/>
            <family val="2"/>
          </rPr>
          <t>The amount of new liquidiation preference that is
due to each class of security (before anything is
paid to holders of junior securities, in the event
of liquidiation), at the last phase (End) of each
round
(variable Liq_Preference_New)</t>
        </r>
      </text>
    </comment>
    <comment ref="A217" authorId="0">
      <text>
        <r>
          <rPr>
            <b/>
            <sz val="8"/>
            <rFont val="Arial"/>
            <family val="2"/>
          </rPr>
          <t>New investments due to sale of new convertible
notes, preferred and common shares, by investment
round. New warrants and options are tracked in
variable Shares_New because they are specified by
number of new shares, not new investment.
(variable Investment_New)</t>
        </r>
      </text>
    </comment>
    <comment ref="A233" authorId="0">
      <text>
        <r>
          <rPr>
            <b/>
            <sz val="8"/>
            <rFont val="Arial"/>
            <family val="2"/>
          </rPr>
          <t>Dividend in kind for convertible notes (before
conversion), preferred stock (before conversion),
and common stock, paid at start of each investment
round. The dividends are segmented by the original
type and series of security whose purchase earned
the dividend (not by the current type and series
of security that earned the dividend).
(variable Dividend_by_Origin)</t>
        </r>
      </text>
    </comment>
    <comment ref="A249" authorId="0">
      <text>
        <r>
          <rPr>
            <b/>
            <sz val="8"/>
            <rFont val="Arial"/>
            <family val="2"/>
          </rPr>
          <t>Number of common shares that originated from
conversion or exercise of each type of security or
sale of common shares, recorded at the end of each
investment round
(variable Shares_Common_by_Origin)</t>
        </r>
      </text>
    </comment>
    <comment ref="A261" authorId="0">
      <text>
        <r>
          <rPr>
            <b/>
            <sz val="8"/>
            <rFont val="Arial"/>
            <family val="2"/>
          </rPr>
          <t>Funds paid out that are imputed (if paid) to
original investments in each type of security, at
the end of each investment round. Warrants and
options are exercised if they are in the money.
The common payout pool covers common shares,
including exercised warrants and options.
(variable Payout_by_Origin)</t>
        </r>
      </text>
    </comment>
    <comment ref="A277" authorId="0">
      <text>
        <r>
          <rPr>
            <b/>
            <sz val="8"/>
            <rFont val="Arial"/>
            <family val="2"/>
          </rPr>
          <t>Number of unexercised warrants and options that
are in the money in phase End, for each investment
round. Used in variable Payout in denominators of
formulas.
(variable OptionWar_in_Money)</t>
        </r>
      </text>
    </comment>
    <comment ref="A293" authorId="0">
      <text>
        <r>
          <rPr>
            <b/>
            <sz val="8"/>
            <rFont val="Arial"/>
            <family val="2"/>
          </rPr>
          <t>The percentage of funds paid out that are imputed
(if paid) to original investments in each type of
security, at the end of each investment round.
Warrants and options are exercised if they are in
the money. The common payout pool covers common
shares, including exercised warrants and options.
(variable Payout_by_Origin_pct)</t>
        </r>
      </text>
    </comment>
    <comment ref="A309" authorId="0">
      <text>
        <r>
          <rPr>
            <b/>
            <sz val="8"/>
            <rFont val="Arial"/>
            <family val="2"/>
          </rPr>
          <t>Cash flows used to compute present values and
internal rates of return for each series and type
of security. Includes founders non-cash
contributions in the first round and payouts in
the last round.
(variable IRR_Cash_Flow)</t>
        </r>
      </text>
    </comment>
    <comment ref="D312" authorId="0">
      <text>
        <r>
          <rPr>
            <b/>
            <sz val="8"/>
            <rFont val="Arial"/>
            <family val="2"/>
          </rPr>
          <t>There are errors in the formula:
Investment!D68+Investment!D98+0-if(iserror(#REF!),
D264, 0)
Investment_by_Origin[Securities.Conv_Note.Series_B,
Rounds.Exit,
Phases.New_Sales]+Investment_by_Origin[Securities.Conv_Note.Series_B,
Rounds.Exit, Phases.Convert]+0-if(iserror({#ERR
Error: Dimension item index out of range
while evaling:
IRR_Cash_Flow[Securities.Conv_Note.Series_B,
Rounds.Exit]:
}), Payout_by_Origin[Securities.Conv_Note.Series_B,
Rounds.Exit], 0)</t>
        </r>
      </text>
    </comment>
    <comment ref="D313" authorId="0">
      <text>
        <r>
          <rPr>
            <b/>
            <sz val="8"/>
            <rFont val="Arial"/>
            <family val="2"/>
          </rPr>
          <t>There are errors in the formula:
Investment!D69+Investment!D99+0-if(iserror(#REF!),
D265, 0)
Investment_by_Origin[Securities.Conv_Note.Series_A,
Rounds.Exit,
Phases.New_Sales]+Investment_by_Origin[Securities.Conv_Note.Series_A,
Rounds.Exit, Phases.Convert]+0-if(iserror({#ERR
Error: Dimension item index out of range
while evaling:
IRR_Cash_Flow[Securities.Conv_Note.Series_A,
Rounds.Exit]:
}), Payout_by_Origin[Securities.Conv_Note.Series_A,
Rounds.Exit], 0)</t>
        </r>
      </text>
    </comment>
    <comment ref="D316" authorId="0">
      <text>
        <r>
          <rPr>
            <b/>
            <sz val="8"/>
            <rFont val="Arial"/>
            <family val="2"/>
          </rPr>
          <t>There are errors in the formula:
Investment!D72+Investment!D102+0-if(iserror(#REF!),
D268, 0)
Investment_by_Origin[Securities.Preferred.Series_A,
Rounds.Exit,
Phases.New_Sales]+Investment_by_Origin[Securities.Preferred.Series_A,
Rounds.Exit, Phases.Convert]+0-if(iserror({#ERR
Error: Dimension item index out of range
while evaling:
IRR_Cash_Flow[Securities.Preferred.Series_A,
Rounds.Exit]:
}), Payout_by_Origin[Securities.Preferred.Series_A,
Rounds.Exit], 0)</t>
        </r>
      </text>
    </comment>
    <comment ref="D318" authorId="0">
      <text>
        <r>
          <rPr>
            <b/>
            <sz val="8"/>
            <rFont val="Arial"/>
            <family val="2"/>
          </rPr>
          <t>There are errors in the formula:
Investment!D74+Investment!D104+0-if(iserror(#REF!),
D270, 0)
Investment_by_Origin[Securities.Common,
Rounds.Exit,
Phases.New_Sales]+Investment_by_Origin[Securities.Common,
Rounds.Exit, Phases.Convert]+0-if(iserror({#ERR
Error: Dimension item index out of range
while evaling: IRR_Cash_Flow[Securities.Common,
Rounds.Exit]:
}), Payout_by_Origin[Securities.Common,
Rounds.Exit], 0)</t>
        </r>
      </text>
    </comment>
    <comment ref="D319" authorId="0">
      <text>
        <r>
          <rPr>
            <b/>
            <sz val="8"/>
            <rFont val="Arial"/>
            <family val="2"/>
          </rPr>
          <t>There are errors in the formula:
Investment!D75+Investment!D105+0-if(iserror(#REF!),
D271, 0)
Investment_by_Origin[Securities.Warrant,
Rounds.Exit,
Phases.New_Sales]+Investment_by_Origin[Securities.Warrant,
Rounds.Exit, Phases.Convert]+0-if(iserror({#ERR
Error: Dimension item index out of range
while evaling: IRR_Cash_Flow[Securities.Warrant,
Rounds.Exit]:
}), Payout_by_Origin[Securities.Warrant,
Rounds.Exit], 0)</t>
        </r>
      </text>
    </comment>
    <comment ref="D321" authorId="0">
      <text>
        <r>
          <rPr>
            <b/>
            <sz val="8"/>
            <rFont val="Arial"/>
            <family val="2"/>
          </rPr>
          <t>There are errors in the formula:
Investment!D77+Investment!D107+0-if(iserror(#REF!),
D273, 0)
Investment_by_Origin[Securities.Option.Series_B,
Rounds.Exit,
Phases.New_Sales]+Investment_by_Origin[Securities.Option.Series_B,
Rounds.Exit, Phases.Convert]+0-if(iserror({#ERR
Error: Dimension item index out of range
while evaling:
IRR_Cash_Flow[Securities.Option.Series_B,
Rounds.Exit]:
}), Payout_by_Origin[Securities.Option.Series_B,
Rounds.Exit], 0)</t>
        </r>
      </text>
    </comment>
    <comment ref="D322" authorId="0">
      <text>
        <r>
          <rPr>
            <b/>
            <sz val="8"/>
            <rFont val="Arial"/>
            <family val="2"/>
          </rPr>
          <t>There are errors in the formula:
Investment!D78+Investment!D108+0-if(iserror(#REF!),
D274, 0)
Investment_by_Origin[Securities.Option.Series_A,
Rounds.Exit,
Phases.New_Sales]+Investment_by_Origin[Securities.Option.Series_A,
Rounds.Exit, Phases.Convert]+0-if(iserror({#ERR
Error: Dimension item index out of range
while evaling:
IRR_Cash_Flow[Securities.Option.Series_A,
Rounds.Exit]:
}), Payout_by_Origin[Securities.Option.Series_A,
Rounds.Exit], 0)</t>
        </r>
      </text>
    </comment>
  </commentList>
</comments>
</file>

<file path=xl/comments2.xml><?xml version="1.0" encoding="utf-8"?>
<comments xmlns="http://schemas.openxmlformats.org/spreadsheetml/2006/main">
  <authors>
    <author>VISTA$</author>
  </authors>
  <commentList>
    <comment ref="A10" authorId="0">
      <text>
        <r>
          <rPr>
            <b/>
            <sz val="8"/>
            <rFont val="Arial"/>
            <family val="2"/>
          </rPr>
          <t>Gross investment including value of converted
securities, and excluding preferred dividends and
interest payments on notes, segmented by type of
security, by investment round
(variable Invest_by_Origin_exDiv_LastRnd)</t>
        </r>
      </text>
    </comment>
    <comment ref="C10" authorId="0">
      <text>
        <r>
          <rPr>
            <b/>
            <sz val="8"/>
            <rFont val="Arial"/>
            <family val="2"/>
          </rPr>
          <t>Dividend in kind for convertible notes (before
conversion), preferred stock (before conversion),
and common stock, paid at start of each investment
round. The dividends are segmented by the original
type and series of security whose purchase earned
the dividend (not by the current type and series
of security that earned the dividend).
(variable Dividend_by_Origin)</t>
        </r>
      </text>
    </comment>
    <comment ref="E10" authorId="0">
      <text>
        <r>
          <rPr>
            <b/>
            <sz val="8"/>
            <rFont val="Arial"/>
            <family val="2"/>
          </rPr>
          <t>Funds paid out that are imputed (if paid) to
original investments in each type of security, at
the end of the last investment round. Warrants and
options are exercised if they are in the money.
The common payout pool covers common shares,
including exercised warrants and options.
(variable Payout_by_Origin_Last)</t>
        </r>
      </text>
    </comment>
    <comment ref="G10" authorId="0">
      <text>
        <r>
          <rPr>
            <b/>
            <sz val="8"/>
            <rFont val="Arial"/>
            <family val="2"/>
          </rPr>
          <t>The percentage of funds paid out that are imputed
(if paid) to original investments in each type of
security, at the end of the last investment round.
Warrants and options are exercised if they are in
the money. The common payout pool covers common
shares, including exercised warrants and options.
(variable Payout_by_Origin_pct_LastRnd)</t>
        </r>
      </text>
    </comment>
    <comment ref="I10" authorId="0">
      <text>
        <r>
          <rPr>
            <b/>
            <sz val="8"/>
            <rFont val="Arial"/>
            <family val="2"/>
          </rPr>
          <t>The multiple of investment (ex-dividends) that
each type of security gets. This is a straight
multiple with no discounting for the time value of
money. The value of founders' noncash
contributions are included as investments in this
computation.
(variable Return_Multiple)</t>
        </r>
      </text>
    </comment>
    <comment ref="A29" authorId="0">
      <text>
        <r>
          <rPr>
            <b/>
            <sz val="8"/>
            <rFont val="Arial"/>
            <family val="2"/>
          </rPr>
          <t>Internal rate of return of cash flow to holders of
each series and type of security. Includes new
investments, exercise payments (for warrants and
options) and final payout at the end of the last
investment round.
(variable IRR_XIRR_Yr)</t>
        </r>
      </text>
    </comment>
    <comment ref="C29" authorId="0">
      <text>
        <r>
          <rPr>
            <b/>
            <sz val="8"/>
            <rFont val="Arial"/>
            <family val="2"/>
          </rPr>
          <t>Net present value of cash flows to each series of
each type of security. Each series and type of
security can have its own discount rate to reflect
different risks.
(variable Net_Present_Value_XNPV)</t>
        </r>
      </text>
    </comment>
    <comment ref="E29" authorId="0">
      <text>
        <r>
          <rPr>
            <b/>
            <sz val="8"/>
            <rFont val="Arial"/>
            <family val="2"/>
          </rPr>
          <t>Annualized discount rates used in computation of
present values of investor cash flows
(variable Discount_Rate_Yr)</t>
        </r>
      </text>
    </comment>
    <comment ref="A50" authorId="0">
      <text>
        <r>
          <rPr>
            <b/>
            <sz val="8"/>
            <rFont val="Arial"/>
            <family val="2"/>
          </rPr>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
(variable Investment_by_Origin)</t>
        </r>
      </text>
    </comment>
    <comment ref="A127" authorId="0">
      <text>
        <r>
          <rPr>
            <b/>
            <sz val="8"/>
            <rFont val="Arial"/>
            <family val="2"/>
          </rPr>
          <t>Gross investment including value of converted
securities, and excluding preferred dividends and
interest payments on notes, segmented by type of
security, by investment round
(variable Invest_by_Origin_exDiv)</t>
        </r>
      </text>
    </comment>
    <comment ref="A209" authorId="0">
      <text>
        <r>
          <rPr>
            <b/>
            <sz val="8"/>
            <rFont val="Arial"/>
            <family val="2"/>
          </rPr>
          <t>Date of each investment round, determined by
investment scenario selected
(variable Event_Date)</t>
        </r>
      </text>
    </comment>
    <comment ref="A211" authorId="0">
      <text>
        <r>
          <rPr>
            <b/>
            <sz val="8"/>
            <rFont val="Arial"/>
            <family val="2"/>
          </rPr>
          <t>Net investment at each phase of each investment
round, segmented by type of security. Converted
notes and preferred shares and exercised warrants
and options are subtracted and added to common
stock. Exercise $ amounts for warrants and options
are added to Net Investment for common stock.
The phase are:
* Start = outstanding investment in securities at
the beginning of the round
* New Sales = new investment in securities in the
round
* Post Sales = gross investment in securities
after sale of new securities
* Convert = investment value of securities being
converted (notes) or exercised (warrants and
options)
* End = investments at the end of the round (with
converted and exercised securties recorded as
common stock)
(variable Investment_Net)</t>
        </r>
      </text>
    </comment>
    <comment ref="A288" authorId="0">
      <text>
        <r>
          <rPr>
            <b/>
            <sz val="8"/>
            <rFont val="Arial"/>
            <family val="2"/>
          </rPr>
          <t>Dividend in kind for convertible notes (before
conversion), preferred stock (before conversion),
and common stock, paid at start of each investment
round</t>
        </r>
      </text>
    </comment>
  </commentList>
</comments>
</file>

<file path=xl/comments3.xml><?xml version="1.0" encoding="utf-8"?>
<comments xmlns="http://schemas.openxmlformats.org/spreadsheetml/2006/main">
  <authors>
    <author>VISTA$</author>
  </authors>
  <commentList>
    <comment ref="A7" authorId="0">
      <text>
        <r>
          <rPr>
            <b/>
            <sz val="8"/>
            <rFont val="Arial"/>
            <family val="2"/>
          </rPr>
          <t>Date of each investment round, determined by
investment scenario selected
(variable Event_Date)</t>
        </r>
      </text>
    </comment>
    <comment ref="A12" authorId="0">
      <text>
        <r>
          <rPr>
            <b/>
            <sz val="8"/>
            <rFont val="Arial"/>
            <family val="2"/>
          </rPr>
          <t>Number of common shares that originated from
conversion or exercise of each type of security or
sale of common shares, recorded at the end of each
investment round
(variable Shares_Common_by_Origin)</t>
        </r>
      </text>
    </comment>
    <comment ref="A28" authorId="0">
      <text>
        <r>
          <rPr>
            <b/>
            <sz val="8"/>
            <rFont val="Arial"/>
            <family val="2"/>
          </rPr>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
(variable Units_Net)</t>
        </r>
      </text>
    </comment>
    <comment ref="A48" authorId="0">
      <text>
        <r>
          <rPr>
            <b/>
            <sz val="8"/>
            <rFont val="Arial"/>
            <family val="2"/>
          </rPr>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
(variable Units_Net)</t>
        </r>
      </text>
    </comment>
  </commentList>
</comments>
</file>

<file path=xl/comments4.xml><?xml version="1.0" encoding="utf-8"?>
<comments xmlns="http://schemas.openxmlformats.org/spreadsheetml/2006/main">
  <authors>
    <author>VISTA$</author>
  </authors>
  <commentList>
    <comment ref="A7" authorId="0">
      <text>
        <r>
          <rPr>
            <b/>
            <sz val="8"/>
            <rFont val="Arial"/>
            <family val="2"/>
          </rPr>
          <t>Date of each investment round, determined by
investment scenario selected
(variable Event_Date)</t>
        </r>
      </text>
    </comment>
    <comment ref="A10" authorId="0">
      <text>
        <r>
          <rPr>
            <b/>
            <sz val="8"/>
            <rFont val="Arial"/>
            <family val="2"/>
          </rPr>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
(variable Units_Net)</t>
        </r>
      </text>
    </comment>
    <comment ref="A26" authorId="0">
      <text>
        <r>
          <rPr>
            <b/>
            <sz val="8"/>
            <rFont val="Arial"/>
            <family val="2"/>
          </rPr>
          <t>Percent of outstanding convertible notes and
preferred stock converting; and percent of
outstanding warrants and options exercising in
each investment round.
The model starts with default decisions for what
securities to exercise or convert and when. These
default decisions are computed in the variable
'Conversion Decisions Default'.
You can override the default conversion decisions
by entering new values.
(variable Converting_pct)</t>
        </r>
      </text>
    </comment>
    <comment ref="A42" authorId="0">
      <text>
        <r>
          <rPr>
            <b/>
            <sz val="8"/>
            <rFont val="Arial"/>
            <family val="2"/>
          </rPr>
          <t>This variable encodes the default conversion
decisions for securities. 
+1 means all conversion conditions are satisfied
0 means some conversion condition is not
satisfied
This information determines the default values
for conversion percents for each security in each
round, found in variable 'Convert %'.
You can get detail on which conversion conditions
are or are not satisfied in variable 'Conversion
Decisions Detail'.
(variable Conversion_Decisions_Default)</t>
        </r>
      </text>
    </comment>
    <comment ref="A58" authorId="0">
      <text>
        <r>
          <rPr>
            <b/>
            <sz val="8"/>
            <rFont val="Arial"/>
            <family val="2"/>
          </rPr>
          <t>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
(variable Conversion_Decisions_Detail)</t>
        </r>
      </text>
    </comment>
  </commentList>
</comments>
</file>

<file path=xl/comments5.xml><?xml version="1.0" encoding="utf-8"?>
<comments xmlns="http://schemas.openxmlformats.org/spreadsheetml/2006/main">
  <authors>
    <author>VISTA$</author>
  </authors>
  <commentList>
    <comment ref="A7" authorId="0">
      <text>
        <r>
          <rPr>
            <b/>
            <sz val="8"/>
            <rFont val="Arial"/>
            <family val="2"/>
          </rPr>
          <t>Date of each investment round, determined by
investment scenario selected
(variable Event_Date)</t>
        </r>
      </text>
    </comment>
    <comment ref="A12" authorId="0">
      <text>
        <r>
          <rPr>
            <b/>
            <sz val="8"/>
            <rFont val="Arial"/>
            <family val="2"/>
          </rPr>
          <t>Price at which new warrants and options are
purchased. Warrant and option prices are based on
current stock price, ignoring the variance of
stock price over time.
(variable Price_Unit_New)</t>
        </r>
      </text>
    </comment>
    <comment ref="A33" author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A39" author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A44" author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A47" author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List>
</comments>
</file>

<file path=xl/comments6.xml><?xml version="1.0" encoding="utf-8"?>
<comments xmlns="http://schemas.openxmlformats.org/spreadsheetml/2006/main">
  <authors>
    <author>VISTA$</author>
  </authors>
  <commentList>
    <comment ref="A7" authorId="0">
      <text>
        <r>
          <rPr>
            <b/>
            <sz val="8"/>
            <rFont val="Arial"/>
            <family val="2"/>
          </rPr>
          <t>Date of each investment round, determined by
investment scenario selected
(variable Event_Date)</t>
        </r>
      </text>
    </comment>
    <comment ref="A12" authorId="0">
      <text>
        <r>
          <rPr>
            <b/>
            <sz val="8"/>
            <rFont val="Arial"/>
            <family val="2"/>
          </rPr>
          <t>The amount of exercise payments due upon exercise
of outstanding warrants and options. For Phase
Convert, the amount of exercise payments made to
exercise warrants and options in each round.
(variable OptionWar_Exercise_Amt)</t>
        </r>
      </text>
    </comment>
    <comment ref="A19" authorId="0">
      <text>
        <r>
          <rPr>
            <b/>
            <sz val="8"/>
            <rFont val="Arial"/>
            <family val="2"/>
          </rPr>
          <t>Number of unexercised warrants and options that
are in the money in phase End, for each investment
round. Used in variable Payout in denominators of
formulas.
(variable OptionWar_in_Money)</t>
        </r>
      </text>
    </comment>
    <comment ref="A25" authorId="0">
      <text>
        <r>
          <rPr>
            <b/>
            <sz val="8"/>
            <rFont val="Arial"/>
            <family val="2"/>
          </rPr>
          <t>The amount of exercise payments due upon exercise
of outstanding warrants and options. For Phase
Convert, the amount of exercise payments made to
exercise warrants and options in each round.
(variable OptionWar_Exercise_Amt)</t>
        </r>
      </text>
    </comment>
    <comment ref="A47" authorId="0">
      <text>
        <r>
          <rPr>
            <b/>
            <sz val="8"/>
            <rFont val="Arial"/>
            <family val="2"/>
          </rPr>
          <t>Number of unexercised warrants and options that
are in the money in phase End, for each investment
round. Used in variable Payout in denominators of
formulas.
(variable OptionWar_in_Money)</t>
        </r>
      </text>
    </comment>
  </commentList>
</comments>
</file>

<file path=xl/comments7.xml><?xml version="1.0" encoding="utf-8"?>
<comments xmlns="http://schemas.openxmlformats.org/spreadsheetml/2006/main">
  <authors>
    <author>VISTA$</author>
  </authors>
  <commentList>
    <comment ref="A7" authorId="0">
      <text>
        <r>
          <rPr>
            <b/>
            <sz val="8"/>
            <rFont val="Arial"/>
            <family val="2"/>
          </rPr>
          <t>Date of each investment round, determined by
investment scenario selected
(variable Event_Date)</t>
        </r>
      </text>
    </comment>
    <comment ref="A10" authorId="0">
      <text>
        <r>
          <rPr>
            <b/>
            <sz val="8"/>
            <rFont val="Arial"/>
            <family val="2"/>
          </rPr>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
(variable Firm_Value)</t>
        </r>
      </text>
    </comment>
    <comment ref="A13" authorId="0">
      <text>
        <r>
          <rPr>
            <b/>
            <sz val="8"/>
            <rFont val="Arial"/>
            <family val="2"/>
          </rPr>
          <t>New investments due to sale of new convertible
notes, preferred and common shares, by investment
round. New warrants and options are tracked in
variable Shares_New because they are specified by
number of new shares, not new investment.
(variable Investment_New)</t>
        </r>
      </text>
    </comment>
    <comment ref="A16" authorId="0">
      <text>
        <r>
          <rPr>
            <b/>
            <sz val="8"/>
            <rFont val="Arial"/>
            <family val="2"/>
          </rPr>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
(variable Investment_by_Origin)</t>
        </r>
      </text>
    </comment>
    <comment ref="A19" authorId="0">
      <text>
        <r>
          <rPr>
            <b/>
            <sz val="8"/>
            <rFont val="Arial"/>
            <family val="2"/>
          </rPr>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
(variable Investment_by_Origin)</t>
        </r>
      </text>
    </comment>
    <comment ref="A22" authorId="0">
      <text>
        <r>
          <rPr>
            <b/>
            <sz val="8"/>
            <rFont val="Arial"/>
            <family val="2"/>
          </rPr>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
(variable Firm_Value)</t>
        </r>
      </text>
    </comment>
  </commentList>
</comments>
</file>

<file path=xl/comments8.xml><?xml version="1.0" encoding="utf-8"?>
<comments xmlns="http://schemas.openxmlformats.org/spreadsheetml/2006/main">
  <authors>
    <author>VISTA$</author>
  </authors>
  <commentList>
    <comment ref="A7" authorId="0">
      <text>
        <r>
          <rPr>
            <b/>
            <sz val="8"/>
            <rFont val="Arial"/>
            <family val="2"/>
          </rPr>
          <t>The amount of funds available for payout to each
type of security at phase End (after conversion of
notes and exercise of warrants and options), in
each investment round. The common payout pool
covers common shares, including exercised warrants
and options.
(variable Payout_Pool_End)</t>
        </r>
      </text>
    </comment>
    <comment ref="F7" authorId="0">
      <text>
        <r>
          <rPr>
            <b/>
            <sz val="8"/>
            <rFont val="Arial"/>
            <family val="2"/>
          </rPr>
          <t>The amount of liquidiation preference that is due
to each class of security (before anything is paid
to holders of junior securities, in the event of
liquidiation), at the last phase (End) of each
round
(variable Liq_Preference_End)</t>
        </r>
      </text>
    </comment>
    <comment ref="K7" authorId="0">
      <text>
        <r>
          <rPr>
            <b/>
            <sz val="8"/>
            <rFont val="Arial"/>
            <family val="2"/>
          </rPr>
          <t>The amount of funds that would be paid to each
type of security if liquidation occurs at the end
of an investment round. Warrants and options are
exercised if they are in the money. The common
payout pool covers common shares, including
exercised warrants and options.
(variable Payout_End)</t>
        </r>
      </text>
    </comment>
    <comment ref="P7" authorId="0">
      <text>
        <r>
          <rPr>
            <b/>
            <sz val="8"/>
            <rFont val="Arial"/>
            <family val="2"/>
          </rPr>
          <t>The percentage of the entire payout that is paid
to each type of security in the final (exit) round
(variable Payout_End_pct)</t>
        </r>
      </text>
    </comment>
    <comment ref="A26" authorId="0">
      <text>
        <r>
          <rPr>
            <b/>
            <sz val="8"/>
            <rFont val="Arial"/>
            <family val="2"/>
          </rPr>
          <t>The amount of funds available for payout to each
type of security at phase End (after conversion of
notes and exercise of warrants and options), in
each investment round. The common payout pool
covers common shares, including exercised warrants
and options.
(variable Payout_Pool_End)</t>
        </r>
      </text>
    </comment>
    <comment ref="A42" authorId="0">
      <text>
        <r>
          <rPr>
            <b/>
            <sz val="8"/>
            <rFont val="Arial"/>
            <family val="2"/>
          </rPr>
          <t>The amount of funds that would be paid to each
type of security if liquidation occurs at the end
of an investment round. Warrants and options are
exercised if they are in the money. The common
payout pool covers common shares, including
exercised warrants and options.
(variable Payout_End)</t>
        </r>
      </text>
    </comment>
    <comment ref="A58" authorId="0">
      <text>
        <r>
          <rPr>
            <b/>
            <sz val="8"/>
            <rFont val="Arial"/>
            <family val="2"/>
          </rPr>
          <t>The percentage of the entire payout that is paid
to each type of security in the final (exit) round
(variable Payout_End_pct)</t>
        </r>
      </text>
    </comment>
    <comment ref="A75" authorId="0">
      <text>
        <r>
          <rPr>
            <b/>
            <sz val="8"/>
            <rFont val="Arial"/>
            <family val="2"/>
          </rPr>
          <t>The amount of liquidiation preference that is due
to each class of security (before anything is paid
to holders of junior securities, in the event of
liquidiation), at the last phase (End) of each
round
(variable Liq_Preference_End)</t>
        </r>
      </text>
    </comment>
    <comment ref="A81" authorId="0">
      <text>
        <r>
          <rPr>
            <b/>
            <sz val="8"/>
            <rFont val="Arial"/>
            <family val="2"/>
          </rPr>
          <t>The amount of liquidiation preference that is due
to each class of security (before anything is paid
to holders of junior securities, in the event of
liquidiation), at the last phase (End) of each
round
(variable Liq_Preference_End)</t>
        </r>
      </text>
    </comment>
  </commentList>
</comments>
</file>

<file path=xl/comments9.xml><?xml version="1.0" encoding="utf-8"?>
<comments xmlns="http://schemas.openxmlformats.org/spreadsheetml/2006/main">
  <authors>
    <author>VISTA$</author>
  </authors>
  <commentList>
    <comment ref="B6" authorId="0">
      <text>
        <r>
          <rPr>
            <b/>
            <sz val="8"/>
            <rFont val="Arial"/>
            <family val="2"/>
          </rPr>
          <t>Name of the company
(variable Company_Name)</t>
        </r>
      </text>
    </comment>
    <comment ref="B8" authorId="0">
      <text>
        <r>
          <rPr>
            <b/>
            <sz val="8"/>
            <rFont val="Arial"/>
            <family val="2"/>
          </rPr>
          <t>This variable encodes the default conversion
decisions for securities. 
+1 means all conversion conditions are satisfied
0 means some conversion condition is not
satisfied
This information determines the default values
for conversion percents for each security in each
round, found in variable 'Convert %'.
You can get detail on which conversion conditions
are or are not satisfied in variable 'Conversion
Decisions Detail'.
(variable Conversion_Decisions_Default)</t>
        </r>
      </text>
    </comment>
    <comment ref="B10" authorId="0">
      <text>
        <r>
          <rPr>
            <b/>
            <sz val="8"/>
            <rFont val="Arial"/>
            <family val="2"/>
          </rPr>
          <t>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
(variable Conversion_Decisions_Detail)</t>
        </r>
      </text>
    </comment>
    <comment ref="B21" authorId="0">
      <text>
        <r>
          <rPr>
            <b/>
            <sz val="8"/>
            <rFont val="Arial"/>
            <family val="2"/>
          </rPr>
          <t>Conversion of securities to common stock must
produce this value premium over liquidation
preference, in order for the default conversion
condition to be satisfied. If &lt; 0, then the
company has the right to convert the security to
common stock when all the conditions are met.
(variable Convert_Liq_Premium_pct)</t>
        </r>
      </text>
    </comment>
    <comment ref="B23" authorId="0">
      <text>
        <r>
          <rPr>
            <b/>
            <sz val="8"/>
            <rFont val="Arial"/>
            <family val="2"/>
          </rPr>
          <t>Date at which securities can first be converted or
exercised to obtain common stock. A date beyond
the end of model time indicates that there is no
trigger date for conversion of the security.
(variable Convert_Trigger_Date)</t>
        </r>
      </text>
    </comment>
    <comment ref="B25" authorId="0">
      <text>
        <r>
          <rPr>
            <b/>
            <sz val="8"/>
            <rFont val="Arial"/>
            <family val="2"/>
          </rPr>
          <t>Minimum amount of equity capital that the company
must raise before securities can be converted or
exercised to obtain common stock. An amount
greater than the capitalization of the company
indicates that the security cannot be converted
(or exercised).
(variable Convert_Trigger_Invest_Amt)</t>
        </r>
      </text>
    </comment>
    <comment ref="B27" authorId="0">
      <text>
        <r>
          <rPr>
            <b/>
            <sz val="8"/>
            <rFont val="Arial"/>
            <family val="2"/>
          </rPr>
          <t>Maximum fraction of the value of a firm that can
be in senior securities in order that a series of
convertible securities converts. (Other conversion
criteria involve dates and minimum equity funding
raised by the company.)
(variable Convert_Trigger_Value_pct)</t>
        </r>
      </text>
    </comment>
    <comment ref="B29" authorId="0">
      <text>
        <r>
          <rPr>
            <b/>
            <sz val="8"/>
            <rFont val="Arial"/>
            <family val="2"/>
          </rPr>
          <t>Percent of outstanding convertible notes and
preferred stock converting; and percent of
outstanding warrants and options exercising in
each investment round.
The model starts with default decisions for what
securities to exercise or convert and when. These
default decisions are computed in the variable
'Conversion Decisions Default'.
You can override the default conversion decisions
by entering new values.
(variable Converting_pct)</t>
        </r>
      </text>
    </comment>
    <comment ref="B31" authorId="0">
      <text>
        <r>
          <rPr>
            <b/>
            <sz val="8"/>
            <rFont val="Arial"/>
            <family val="2"/>
          </rPr>
          <t>The discount percent on prevailing common share
price that accrue to holders of each series of
convertible security at the time of conversion or
exercise. This discount is a reward for investing
early when the risk was presumed higher.
(variable ConvNote_Discount_pct)</t>
        </r>
      </text>
    </comment>
    <comment ref="B33" authorId="0">
      <text>
        <r>
          <rPr>
            <b/>
            <sz val="8"/>
            <rFont val="Arial"/>
            <family val="2"/>
          </rPr>
          <t>Annualized discount rates used in computation of
present values of investor cash flows
(variable Discount_Rate_Yr)</t>
        </r>
      </text>
    </comment>
    <comment ref="B35" authorId="0">
      <text>
        <r>
          <rPr>
            <b/>
            <sz val="8"/>
            <rFont val="Arial"/>
            <family val="2"/>
          </rPr>
          <t>Dividend in kind for convertible notes (before
conversion), preferred stock (before conversion),
and common stock, paid at start of each investment
round</t>
        </r>
      </text>
    </comment>
    <comment ref="B38" authorId="0">
      <text>
        <r>
          <rPr>
            <b/>
            <sz val="8"/>
            <rFont val="Arial"/>
            <family val="2"/>
          </rPr>
          <t>Dividend in kind for convertible notes (before
conversion), preferred stock (before conversion),
and common stock, paid at start of each investment
round. The dividends are segmented by the original
type and series of security whose purchase earned
the dividend (not by the current type and series
of security that earned the dividend).
(variable Dividend_by_Origin)</t>
        </r>
      </text>
    </comment>
    <comment ref="B41" authorId="0">
      <text>
        <r>
          <rPr>
            <b/>
            <sz val="8"/>
            <rFont val="Arial"/>
            <family val="2"/>
          </rPr>
          <t>Dividend paid on common stock, paid at the
beginning of each investment round
(variable Dividend_Common)</t>
        </r>
      </text>
    </comment>
    <comment ref="B43" authorId="0">
      <text>
        <r>
          <rPr>
            <b/>
            <sz val="8"/>
            <rFont val="Arial"/>
            <family val="2"/>
          </rPr>
          <t>Dividend rate for preferred stock, and interest
rate paid on convertible notes before conversion
(variable Dividend_pct_Yr)</t>
        </r>
      </text>
    </comment>
    <comment ref="B45" authorId="0">
      <text>
        <r>
          <rPr>
            <b/>
            <sz val="8"/>
            <rFont val="Arial"/>
            <family val="2"/>
          </rPr>
          <t>Date of each investment round, determined by
investment scenario selected
(variable Event_Date)</t>
        </r>
      </text>
    </comment>
    <comment ref="B47" authorId="0">
      <text>
        <r>
          <rPr>
            <b/>
            <sz val="8"/>
            <rFont val="Arial"/>
            <family val="2"/>
          </rPr>
          <t>Date of each investment round
(variable Event_Date_Sc0)</t>
        </r>
      </text>
    </comment>
    <comment ref="B49" authorId="0">
      <text>
        <r>
          <rPr>
            <b/>
            <sz val="8"/>
            <rFont val="Arial"/>
            <family val="2"/>
          </rPr>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
(variable Firm_Value)</t>
        </r>
      </text>
    </comment>
    <comment ref="B55" authorId="0">
      <text>
        <r>
          <rPr>
            <b/>
            <sz val="8"/>
            <rFont val="Arial"/>
            <family val="2"/>
          </rPr>
          <t>Valuation of the firm at the start of each
investment round
(variable Firm_Value_Start)</t>
        </r>
      </text>
    </comment>
    <comment ref="B57" authorId="0">
      <text>
        <r>
          <rPr>
            <b/>
            <sz val="8"/>
            <rFont val="Arial"/>
            <family val="2"/>
          </rPr>
          <t>Valuation of the firm at the start of each
investment round
(variable Firm_Value_Start_Sc0)</t>
        </r>
      </text>
    </comment>
    <comment ref="B59" authorId="0">
      <text>
        <r>
          <rPr>
            <b/>
            <sz val="8"/>
            <rFont val="Arial"/>
            <family val="2"/>
          </rPr>
          <t>Gross investment including value of converted
securities, and excluding preferred dividends and
interest payments on notes, segmented by type of
security, by investment round
(variable Invest_by_Origin_exDiv)</t>
        </r>
      </text>
    </comment>
    <comment ref="B65" authorId="0">
      <text>
        <r>
          <rPr>
            <b/>
            <sz val="8"/>
            <rFont val="Arial"/>
            <family val="2"/>
          </rPr>
          <t>Gross investment including value of converted
securities, and excluding preferred dividends and
interest payments on notes, segmented by type of
security, by investment round
(variable Invest_by_Origin_exDiv_LastRnd)</t>
        </r>
      </text>
    </comment>
    <comment ref="B67" authorId="0">
      <text>
        <r>
          <rPr>
            <b/>
            <sz val="8"/>
            <rFont val="Arial"/>
            <family val="2"/>
          </rPr>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
(variable Investment_by_Origin)</t>
        </r>
      </text>
    </comment>
    <comment ref="B74" authorId="0">
      <text>
        <r>
          <rPr>
            <b/>
            <sz val="8"/>
            <rFont val="Arial"/>
            <family val="2"/>
          </rPr>
          <t>Net investment at each phase of each investment
round, segmented by type of security. Converted
notes and preferred shares and exercised warrants
and options are subtracted and added to common
stock. Exercise $ amounts for warrants and options
are added to Net Investment for common stock.
The phase are:
* Start = outstanding investment in securities at
the beginning of the round
* New Sales = new investment in securities in the
round
* Post Sales = gross investment in securities
after sale of new securities
* Convert = investment value of securities being
converted (notes) or exercised (warrants and
options)
* End = investments at the end of the round (with
converted and exercised securties recorded as
common stock)
(variable Investment_Net)</t>
        </r>
      </text>
    </comment>
    <comment ref="B83" authorId="0">
      <text>
        <r>
          <rPr>
            <b/>
            <sz val="8"/>
            <rFont val="Arial"/>
            <family val="2"/>
          </rPr>
          <t>New investments due to sale of new convertible
notes, preferred and common shares, by investment
round. New warrants and options are tracked in
variable Shares_New because they are specified by
number of new shares, not new investment.
(variable Investment_New)</t>
        </r>
      </text>
    </comment>
    <comment ref="B85" authorId="0">
      <text>
        <r>
          <rPr>
            <b/>
            <sz val="8"/>
            <rFont val="Arial"/>
            <family val="2"/>
          </rPr>
          <t>New investments due to sale of new convertible
notes, preferred and common shares, by investment
round; investment scenario 1. New warrants and
options are tracked in variable Shares_New because
they are specified by number of new shares, not
new investment.
(variable Investment_New_Sc0)</t>
        </r>
      </text>
    </comment>
    <comment ref="B87" authorId="0">
      <text>
        <r>
          <rPr>
            <b/>
            <sz val="8"/>
            <rFont val="Arial"/>
            <family val="2"/>
          </rPr>
          <t>Cash flows used to compute present values and
internal rates of return for each series and type
of security. Includes founders non-cash
contributions in the first round and payouts in
the last round.
(variable IRR_Cash_Flow)</t>
        </r>
      </text>
    </comment>
    <comment ref="B90" authorId="0">
      <text>
        <r>
          <rPr>
            <b/>
            <sz val="8"/>
            <rFont val="Arial"/>
            <family val="2"/>
          </rPr>
          <t>Initial guess at internal rate of return of the
cash flow for holders of each series and type of
security, to start the iterative solution for the
IRR
(variable IRR_Initial_Guess_Yr)</t>
        </r>
      </text>
    </comment>
    <comment ref="B92" authorId="0">
      <text>
        <r>
          <rPr>
            <b/>
            <sz val="8"/>
            <rFont val="Arial"/>
            <family val="2"/>
          </rPr>
          <t>Internal rate of return of cash flow to holders of
each series and type of security. Includes new
investments, exercise payments (for warrants and
options) and final payout at the end of the last
investment round.
(variable IRR_XIRR_Yr)</t>
        </r>
      </text>
    </comment>
    <comment ref="B94" authorId="0">
      <text>
        <r>
          <rPr>
            <b/>
            <sz val="8"/>
            <rFont val="Arial"/>
            <family val="2"/>
          </rPr>
          <t>The multiple of new investment that is added to
liquidation preference for each class of security,
in each investment round
(variable Liq_Multiple)</t>
        </r>
      </text>
    </comment>
    <comment ref="B96" authorId="0">
      <text>
        <r>
          <rPr>
            <b/>
            <sz val="8"/>
            <rFont val="Arial"/>
            <family val="2"/>
          </rPr>
          <t>The amount of liquidiation preference that is due
to each class of security (before anything is paid
to holders of junior securities, in the event of
liquidiation), at the last phase (End) of each
round
(variable Liq_Preference_End)</t>
        </r>
      </text>
    </comment>
    <comment ref="B98" authorId="0">
      <text>
        <r>
          <rPr>
            <b/>
            <sz val="8"/>
            <rFont val="Arial"/>
            <family val="2"/>
          </rPr>
          <t>The amount of new liquidiation preference that is
due to each class of security (before anything is
paid to holders of junior securities, in the event
of liquidiation), at the last phase (End) of each
round
(variable Liq_Preference_New)</t>
        </r>
      </text>
    </comment>
    <comment ref="B100" authorId="0">
      <text>
        <r>
          <rPr>
            <b/>
            <sz val="8"/>
            <rFont val="Arial"/>
            <family val="2"/>
          </rPr>
          <t>Net present value of cash flows to each series of
each type of security. Each series and type of
security can have its own discount rate to reflect
different risks.
(variable Net_Present_Value_XNPV)</t>
        </r>
      </text>
    </comment>
    <comment ref="B102" authorId="0">
      <text>
        <r>
          <rPr>
            <b/>
            <sz val="8"/>
            <rFont val="Arial"/>
            <family val="2"/>
          </rPr>
          <t>The amount of exercise payments due upon exercise
of outstanding warrants and options. For Phase
Convert, the amount of exercise payments made to
exercise warrants and options in each round.
(variable OptionWar_Exercise_Amt)</t>
        </r>
      </text>
    </comment>
    <comment ref="B108" authorId="0">
      <text>
        <r>
          <rPr>
            <b/>
            <sz val="8"/>
            <rFont val="Arial"/>
            <family val="2"/>
          </rPr>
          <t>Exercise price for each class of stock option.
Upon exercise of a warrant or option, the holder
pays the exercise price to the company in cash,
which amount is added to Investment by Origin for
the warrant or option, and added to Net Investment
for common stock.
(variable OptionWar_Exercise_Price)</t>
        </r>
      </text>
    </comment>
    <comment ref="B110" authorId="0">
      <text>
        <r>
          <rPr>
            <b/>
            <sz val="8"/>
            <rFont val="Arial"/>
            <family val="2"/>
          </rPr>
          <t>Number of unexercised warrants and options that
are in the money in phase End, for each investment
round. Used in variable Payout in denominators of
formulas.
(variable OptionWar_in_Money)</t>
        </r>
      </text>
    </comment>
    <comment ref="B113" authorId="0">
      <text>
        <r>
          <rPr>
            <b/>
            <sz val="8"/>
            <rFont val="Arial"/>
            <family val="2"/>
          </rPr>
          <t>Funds paid out that are imputed (if paid) to
original investments in each type of security, at
the end of each investment round. Warrants and
options are exercised if they are in the money.
The common payout pool covers common shares,
including exercised warrants and options.
(variable Payout_by_Origin)</t>
        </r>
      </text>
    </comment>
    <comment ref="B117" authorId="0">
      <text>
        <r>
          <rPr>
            <b/>
            <sz val="8"/>
            <rFont val="Arial"/>
            <family val="2"/>
          </rPr>
          <t>Funds paid out that are imputed (if paid) to
original investments in each type of security, at
the end of the last investment round. Warrants and
options are exercised if they are in the money.
The common payout pool covers common shares,
including exercised warrants and options.
(variable Payout_by_Origin_Last)</t>
        </r>
      </text>
    </comment>
    <comment ref="B119" authorId="0">
      <text>
        <r>
          <rPr>
            <b/>
            <sz val="8"/>
            <rFont val="Arial"/>
            <family val="2"/>
          </rPr>
          <t>The percentage of funds paid out that are imputed
(if paid) to original investments in each type of
security, at the end of each investment round.
Warrants and options are exercised if they are in
the money. The common payout pool covers common
shares, including exercised warrants and options.
(variable Payout_by_Origin_pct)</t>
        </r>
      </text>
    </comment>
    <comment ref="B121" authorId="0">
      <text>
        <r>
          <rPr>
            <b/>
            <sz val="8"/>
            <rFont val="Arial"/>
            <family val="2"/>
          </rPr>
          <t>The percentage of funds paid out that are imputed
(if paid) to original investments in each type of
security, at the end of the last investment round.
Warrants and options are exercised if they are in
the money. The common payout pool covers common
shares, including exercised warrants and options.
(variable Payout_by_Origin_pct_LastRnd)</t>
        </r>
      </text>
    </comment>
    <comment ref="B123" authorId="0">
      <text>
        <r>
          <rPr>
            <b/>
            <sz val="8"/>
            <rFont val="Arial"/>
            <family val="2"/>
          </rPr>
          <t>The amount of funds that would be paid to each
type of security if liquidation occurs at the end
of an investment round. Warrants and options are
exercised if they are in the money. The common
payout pool covers common shares, including
exercised warrants and options.
(variable Payout_End)</t>
        </r>
      </text>
    </comment>
    <comment ref="B130" authorId="0">
      <text>
        <r>
          <rPr>
            <b/>
            <sz val="8"/>
            <rFont val="Arial"/>
            <family val="2"/>
          </rPr>
          <t>The percentage of the entire payout that is paid
to each type of security in the final (exit) round
(variable Payout_End_pct)</t>
        </r>
      </text>
    </comment>
    <comment ref="B132" authorId="0">
      <text>
        <r>
          <rPr>
            <b/>
            <sz val="8"/>
            <rFont val="Arial"/>
            <family val="2"/>
          </rPr>
          <t>The amount of funds available for payout to each
type of security at phase End (after conversion of
notes and exercise of warrants and options), in
each investment round. The common payout pool
covers common shares, including exercised warrants
and options.
(variable Payout_Pool_End)</t>
        </r>
      </text>
    </comment>
    <comment ref="B135" authorId="0">
      <text>
        <r>
          <rPr>
            <b/>
            <sz val="8"/>
            <rFont val="Arial"/>
            <family val="2"/>
          </rPr>
          <t>Initial common share price at the start of the
seed round
(variable Price_Common_Init)</t>
        </r>
      </text>
    </comment>
    <comment ref="B137" authorId="0">
      <text>
        <r>
          <rPr>
            <b/>
            <sz val="8"/>
            <rFont val="Arial"/>
            <family val="2"/>
          </rPr>
          <t>Price premium for a preferred share unit over
common stock at time of purchase. The premium
reflects the contingent value of preference
payments and preference dividends.
(variable Price_Premium_pct)</t>
        </r>
      </text>
    </comment>
    <comment ref="B140" authorId="0">
      <text>
        <r>
          <rPr>
            <b/>
            <sz val="8"/>
            <rFont val="Arial"/>
            <family val="2"/>
          </rPr>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
(variable Price_Unit_Conv)</t>
        </r>
      </text>
    </comment>
    <comment ref="B146" authorId="0">
      <text>
        <r>
          <rPr>
            <b/>
            <sz val="8"/>
            <rFont val="Arial"/>
            <family val="2"/>
          </rPr>
          <t>Price at which new warrants and options are
purchased. Warrant and option prices are based on
current stock price, ignoring the variance of
stock price over time.
(variable Price_Unit_New)</t>
        </r>
      </text>
    </comment>
    <comment ref="B150" authorId="0">
      <text>
        <r>
          <rPr>
            <b/>
            <sz val="8"/>
            <rFont val="Arial"/>
            <family val="2"/>
          </rPr>
          <t>Ratio (price at which new units are purchased) /
(common share price - exercise price).
(variable Price_Unit_New_pct)</t>
        </r>
      </text>
    </comment>
    <comment ref="B152" authorId="0">
      <text>
        <r>
          <rPr>
            <b/>
            <sz val="8"/>
            <rFont val="Arial"/>
            <family val="2"/>
          </rPr>
          <t>The price of each type of security at the start of
each investment round. Prices for sale of new
securities in general differ from prices for
conversion or exercise of securities in
transactions at a later phase. These prices for
unexercised options do not account for effects of
stock volatility etc. in option pricing models. 
(variable Price_Unit_Start)</t>
        </r>
      </text>
    </comment>
    <comment ref="B158" authorId="0">
      <text>
        <r>
          <rPr>
            <b/>
            <sz val="8"/>
            <rFont val="Arial"/>
            <family val="2"/>
          </rPr>
          <t>The multiple of investment (ex-dividends) that
each type of security gets. This is a straight
multiple with no discounting for the time value of
money. The value of founders' noncash
contributions are included as investments in this
computation.
(variable Return_Multiple)</t>
        </r>
      </text>
    </comment>
    <comment ref="B160" authorId="0">
      <text>
        <r>
          <rPr>
            <b/>
            <sz val="8"/>
            <rFont val="Arial"/>
            <family val="2"/>
          </rPr>
          <t>(variable Scenarios_Invest_Dim)</t>
        </r>
      </text>
    </comment>
    <comment ref="B164" authorId="0">
      <text>
        <r>
          <rPr>
            <b/>
            <sz val="8"/>
            <rFont val="Arial"/>
            <family val="2"/>
          </rPr>
          <t>Number of common shares that originated from
conversion or exercise of each type of security or
sale of common shares, recorded at the end of each
investment round
(variable Shares_Common_by_Origin)</t>
        </r>
      </text>
    </comment>
    <comment ref="B168" authorId="0">
      <text>
        <r>
          <rPr>
            <b/>
            <sz val="8"/>
            <rFont val="Arial"/>
            <family val="2"/>
          </rPr>
          <t>Factor by which common shares are split before the
start of each investment round
(variable Split_Factor_Start)</t>
        </r>
      </text>
    </comment>
    <comment ref="B170" authorId="0">
      <text>
        <r>
          <rPr>
            <b/>
            <sz val="8"/>
            <rFont val="Arial"/>
            <family val="2"/>
          </rPr>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
(variable Units_Net)</t>
        </r>
      </text>
    </comment>
    <comment ref="B180" authorId="0">
      <text>
        <r>
          <rPr>
            <b/>
            <sz val="8"/>
            <rFont val="Arial"/>
            <family val="2"/>
          </rPr>
          <t>Numbers of new warrants and options sold, by
investment round. Sales of new convertible notes,
preferred stock and common stock are input as new
investment, from which new shares are computed.
(variable Units_New)</t>
        </r>
      </text>
    </comment>
    <comment ref="B182" authorId="0">
      <text>
        <r>
          <rPr>
            <b/>
            <sz val="8"/>
            <rFont val="Arial"/>
            <family val="2"/>
          </rPr>
          <t>Numbers of new warrants and options sold, by
investment round, for investment scenario 1. Sales
of new convertible notes, preferred stock and
common stock are input as new investment, from
which new shares are computed.
(variable Units_New_Sc0)</t>
        </r>
      </text>
    </comment>
  </commentList>
</comments>
</file>

<file path=xl/sharedStrings.xml><?xml version="1.0" encoding="utf-8"?>
<sst xmlns="http://schemas.openxmlformats.org/spreadsheetml/2006/main" count="1091" uniqueCount="795">
  <si>
    <t>:D:-1:Convert_Conditions</t>
  </si>
  <si>
    <t>:A:-1:Investment_by_Origin</t>
  </si>
  <si>
    <t>Name of the company</t>
  </si>
  <si>
    <t>:D:2:Phases</t>
  </si>
  <si>
    <t>:A:0:Net_Present_Value_XNPV</t>
  </si>
  <si>
    <t>Conversion of securities to common stock must produce this value premium over liquidation preference, in order for the default conversion condition to be satisfied. If &lt; 0, then the company has the right to convert the security to common stock when all the conditions are met.</t>
  </si>
  <si>
    <t>Investment_New_Sc0["Securities.Conv_Note.Series_A", "Rounds.Exit"]|=0</t>
  </si>
  <si>
    <t>:A:0:Scenarios_Value_Dim</t>
  </si>
  <si>
    <t>:A:0:Convert_Liq_Premium_pct</t>
  </si>
  <si>
    <t>Units_New*OptionWar_Exercise_Price</t>
  </si>
  <si>
    <t>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t>
  </si>
  <si>
    <t>Price_Unit_New["Securities.Conv_Note.Series_A", "Rounds.Exit"]|='(Other Computations)'!D20</t>
  </si>
  <si>
    <t>Conversion Decisions Detail</t>
  </si>
  <si>
    <t>Price_Premium_pct["Securities.Preferred.Series_A", "Rounds.Seed"]|=0.10</t>
  </si>
  <si>
    <t>:A:0:Investment_New</t>
  </si>
  <si>
    <t>Dividend % (Yr)</t>
  </si>
  <si>
    <t>Payout_by_Origin_pct_LastRnd</t>
  </si>
  <si>
    <t>:A:-1:Payout_by_Origin</t>
  </si>
  <si>
    <t>:A:0:Firm_Value_Start</t>
  </si>
  <si>
    <t>Liquidation</t>
  </si>
  <si>
    <t>Firstd("Phases", Investment_Net)+Investment_Net["Phases.New_Sales"]</t>
  </si>
  <si>
    <t>IRR_Initial_Guess_Yr["Securities.Conv_Note.Series_B"]|=0.50</t>
  </si>
  <si>
    <t>Firm Value</t>
  </si>
  <si>
    <t>Investment_New_Sc0["Securities.Warrant", "Rounds.Round_A"]|=0</t>
  </si>
  <si>
    <t>Rounds, Securities.Preferred</t>
  </si>
  <si>
    <t xml:space="preserve">  Post_Sales</t>
  </si>
  <si>
    <t>Convert_Trigger_Invest_Amt</t>
  </si>
  <si>
    <t>:A:0:Price_Unit_New_pct</t>
  </si>
  <si>
    <t>Rounds, Securities.Conv_Note, Convert_Conditions.Liquidation</t>
  </si>
  <si>
    <t>:A:0:Payout_End_pct</t>
  </si>
  <si>
    <t>Rounds, Securities</t>
  </si>
  <si>
    <t>Convert_Trigger_Value_pct["Securities.Option.Series_B"]|=0.50</t>
  </si>
  <si>
    <t>ifm(isleafd("rounds"), sum(rangedru("Securities", Payout_by_Origin)), "")</t>
  </si>
  <si>
    <t>Dividend in kind for convertible notes (before conversion), preferred stock (before conversion), and common stock, paid at start of each investment round. The dividends are segmented by the original type and series of security whose purchase earned the dividend (not by the current type and series of security that earned the dividend).</t>
  </si>
  <si>
    <t>Price_Common_Init</t>
  </si>
  <si>
    <t>-xnpv(Discount_Rate_Yr, ranged("Rounds", IRR_Cash_Flow), ranged("Rounds", Event_Date))</t>
  </si>
  <si>
    <t>:A:-1:Dividend_pct_Yr</t>
  </si>
  <si>
    <t>:A:0:Dividend</t>
  </si>
  <si>
    <t xml:space="preserve">    Series_A</t>
  </si>
  <si>
    <t>:A:-1:OptionWar_Exercise_Price</t>
  </si>
  <si>
    <t>:D:0:Securities.Warrant</t>
  </si>
  <si>
    <t>:D:2:Securities</t>
  </si>
  <si>
    <t>Payout</t>
  </si>
  <si>
    <t>:A:-1:Scenarios_Value_Dim</t>
  </si>
  <si>
    <t>max(0, Price_Unit_Conv["Securities.Common"]-OptionWar_Exercise_Price)</t>
  </si>
  <si>
    <t>:A:-1:Dividend</t>
  </si>
  <si>
    <t>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t>
  </si>
  <si>
    <t>min(Payout_Pool_End, max(Liq_Preference_End, Lastd("Phases", Units_Net)*Price_Unit_Conv["Securities.Common"]))</t>
  </si>
  <si>
    <t>Company_Name</t>
  </si>
  <si>
    <t>Company Name</t>
  </si>
  <si>
    <t>Price_Premium_pct["Securities.Conv_Note.Series_B", "Rounds.Seed"]|=0</t>
  </si>
  <si>
    <t>Price premium for a preferred share unit over common stock at time of purchase. The premium reflects the contingent value of preference payments and preference dividends.</t>
  </si>
  <si>
    <t>:A:-1:Convert_Trigger_Invest_Amt</t>
  </si>
  <si>
    <t>Discount_Rate_Yr["Securities.Conv_Note.Series_B"]|=0.30</t>
  </si>
  <si>
    <t>Post Sales</t>
  </si>
  <si>
    <t>Default Conversion Decisions</t>
  </si>
  <si>
    <t>New Unit Price %</t>
  </si>
  <si>
    <t>Event Date</t>
  </si>
  <si>
    <t>:A:0:OptionWar_Exercise_Price</t>
  </si>
  <si>
    <t>Price_Unit_New["Securities.Option.Series_B", "Rounds.Round_A"]|=max(0, B110*Prices!C20+B110*(-B126))</t>
  </si>
  <si>
    <t>:A:-1:Investment_New_Sc0</t>
  </si>
  <si>
    <t>Converting_pct["Securities.Preferred.Series_A", "Rounds.Seed"]|=B47</t>
  </si>
  <si>
    <t>Liq_Multiple["Securities.Common"]|=0</t>
  </si>
  <si>
    <t>Converting_pct["Securities.Option.Series_A", "Rounds.Seed"]|=B52</t>
  </si>
  <si>
    <t>Price_Unit_New["Securities.Common", "Rounds.Exit"]|='(Other Computations)'!D25</t>
  </si>
  <si>
    <t xml:space="preserve">  New_Sales</t>
  </si>
  <si>
    <t>Scenarios_Invest</t>
  </si>
  <si>
    <t>IRR_Initial_Guess_Yr["Securities.Option.Series_A"]|=0.50</t>
  </si>
  <si>
    <t>Convert_Trigger_Invest_Amt["Securities.Option.Series_A"]|=1500000</t>
  </si>
  <si>
    <t>IRR_Initial_Guess_Yr["Securities.Option.Series_B"]|=0.50</t>
  </si>
  <si>
    <t>Convert Conditions</t>
  </si>
  <si>
    <t>OptionWar_in_Money</t>
  </si>
  <si>
    <t>Phases</t>
  </si>
  <si>
    <t>Payout_by_Origin_Last</t>
  </si>
  <si>
    <t>Firm_Value_Start</t>
  </si>
  <si>
    <t>Units_New_Sc0</t>
  </si>
  <si>
    <t>Invest by Origin ex-Dividend</t>
  </si>
  <si>
    <t>Rounds, Phases.Convert</t>
  </si>
  <si>
    <t>if(Price_Unit_Conv["Securities.Common"]&lt;=OptionWar_Exercise_Price, 0, Lastd("Phases", Units_Net))</t>
  </si>
  <si>
    <t>Display Item As</t>
  </si>
  <si>
    <t>max(0, var(Price_Unit_Start["Securities.Common"])-OptionWar_Exercise_Price)</t>
  </si>
  <si>
    <t>:A:0:Price_Unit_New</t>
  </si>
  <si>
    <t>:A:0:Shares_Common_by_Origin</t>
  </si>
  <si>
    <t>:WS:</t>
  </si>
  <si>
    <t>:A:-1:Split_Factor_Start</t>
  </si>
  <si>
    <t>End</t>
  </si>
  <si>
    <t>:D:0:Convert_Conditions.Trigger_Invest</t>
  </si>
  <si>
    <t>:A:0:Payout_by_Origin_pct_LastRnd</t>
  </si>
  <si>
    <t>Discount_Rate_Yr["Securities.Option.Series_A"]|=0.30</t>
  </si>
  <si>
    <t>Convert_Trigger_Date</t>
  </si>
  <si>
    <t>Price_Premium_pct["Securities.Option.Series_A", "Rounds.Round_A"]|=B43</t>
  </si>
  <si>
    <t>Rounds, Phases.Post_Sales</t>
  </si>
  <si>
    <t>:A:0:Investment_New_Sc0</t>
  </si>
  <si>
    <t>Conversion Price</t>
  </si>
  <si>
    <t>Price_Unit_New["Securities.Common", "Rounds.Seed"]|='(Other Computations)'!B25</t>
  </si>
  <si>
    <t>Convert_Trigger_Date["Securities.Option.Series_B"]|=date(2011,4,1)</t>
  </si>
  <si>
    <t>Converting_pct["Securities.Conv_Note.Series_B", "Rounds.Seed"]|=B44</t>
  </si>
  <si>
    <t>Preferred</t>
  </si>
  <si>
    <t>Liq Multiple</t>
  </si>
  <si>
    <t>:D:0:Rounds.Exit</t>
  </si>
  <si>
    <t>ConvNote_Discount_pct</t>
  </si>
  <si>
    <t>Share Price</t>
  </si>
  <si>
    <t>:A:0:Units_New</t>
  </si>
  <si>
    <t>Price_Unit_Start</t>
  </si>
  <si>
    <t>:A:-1:OptionWar_Exercise_Amt</t>
  </si>
  <si>
    <t>:A:-1:Price_Unit_New</t>
  </si>
  <si>
    <t>:A:-1:Liq_Preference_New</t>
  </si>
  <si>
    <t>Price_Premium_pct["Securities.Option.Series_A", "Rounds.Exit"]|=C43</t>
  </si>
  <si>
    <t>prevde(0.10, "Rounds")</t>
  </si>
  <si>
    <t>Units_New_Sc0["Securities.Common", "Rounds.Round_A"]|=0/3/5</t>
  </si>
  <si>
    <t>:A:-1:Payout_Pool_End</t>
  </si>
  <si>
    <t>max(0, Price_Unit_Conv["Securities.Common"]*(1-ConvNote_Discount_pct))</t>
  </si>
  <si>
    <t>:A:-1:Event_Date</t>
  </si>
  <si>
    <t>Price_Unit_Conv</t>
  </si>
  <si>
    <t>:A:0:Units_New_Sc0</t>
  </si>
  <si>
    <t>:D:0:Rounds</t>
  </si>
  <si>
    <t>prevde(0, "Rounds", Shares_Common_by_Origin)*Split_Factor_Start+Units_Net["Phases.Convert"]</t>
  </si>
  <si>
    <t>Payout Pool</t>
  </si>
  <si>
    <t>Discount Rate (Yr)</t>
  </si>
  <si>
    <t>max(0, Price_Unit_New_pct*(var(Price_Unit_New["Securities.Common"])-OptionWar_Exercise_Price))</t>
  </si>
  <si>
    <t>Investment_New</t>
  </si>
  <si>
    <t>Return_Multiple</t>
  </si>
  <si>
    <t>:D:1:Securities.Conv_Note</t>
  </si>
  <si>
    <t>" "</t>
  </si>
  <si>
    <t>Investment_New_Sc0["Securities.Option.Series_B", "Rounds.Round_A"]|=0</t>
  </si>
  <si>
    <t>Phases, Securities</t>
  </si>
  <si>
    <t>Investment_New_Sc0["Securities.Preferred.Series_A", "Rounds.Seed"]|=0</t>
  </si>
  <si>
    <t>:A:0:Price_Common_Init</t>
  </si>
  <si>
    <t>Payout_End_pct</t>
  </si>
  <si>
    <t>Units_New_Sc0["Securities.Option.Series_B", "Rounds.Seed"]|=0/3/10</t>
  </si>
  <si>
    <t>:D:2:Phases.Start</t>
  </si>
  <si>
    <t>Converting_pct*Units_Net["Phases.Post_Sales"]</t>
  </si>
  <si>
    <t>:D:0:Securities.Conv_Note.Series_A</t>
  </si>
  <si>
    <t>:A:-1:Net_Present_Value_XNPV</t>
  </si>
  <si>
    <t>Warrant</t>
  </si>
  <si>
    <t>Liq_Multiple["Securities.Option.Series_B"]|=0</t>
  </si>
  <si>
    <t>Rounds, Securities.Option, Convert_Conditions.Trigger_Price</t>
  </si>
  <si>
    <t>Conversion Trigger Date</t>
  </si>
  <si>
    <t>Investment_New_Sc0["Securities.Conv_Note.Series_B", "Rounds.Round_A"]|=0</t>
  </si>
  <si>
    <t>Price_Premium_pct["Securities.Conv_Note.Series_A", "Rounds.Seed"]|=0</t>
  </si>
  <si>
    <t>Convert_Trigger_Date["Securities.Conv_Note.Series_B"]|=date(2011,4,1)</t>
  </si>
  <si>
    <t>Convert_Trigger_Date["Securities.Common"]|=date(2011,4,1)</t>
  </si>
  <si>
    <t>Convert_Trigger_Date["Securities.Option.Series_A"]|=date(2011,4,1)</t>
  </si>
  <si>
    <t>Price_Premium_pct["Securities.Option.Series_B", "Rounds.Exit"]|=C42</t>
  </si>
  <si>
    <t>Payout_by_Origin</t>
  </si>
  <si>
    <t>Common Shares by Origin</t>
  </si>
  <si>
    <t>Price_Premium_pct["Securities.Conv_Note.Series_A", "Rounds.Round_A"]|=B36</t>
  </si>
  <si>
    <t>Lastd("Phases", Units_Net)/(Lastd("Phases", Units_Net)+OptionWar_in_Money["Securities"])*Payout_Pool_End</t>
  </si>
  <si>
    <t>Split_Factor_Start</t>
  </si>
  <si>
    <t>Liquidation Preference</t>
  </si>
  <si>
    <t>Firm_Value_Start_Sc0["Rounds.Seed"]|=round(1000000*1^(0.6+0.4*1), -4)</t>
  </si>
  <si>
    <t>Investment_Net["Phases.Post_Sales"]-Investment_Net["Phases.Convert"]</t>
  </si>
  <si>
    <t>Discount_Rate_Yr["Securities.Preferred.Series_A"]|=0.30</t>
  </si>
  <si>
    <t>:A:0:Payout_by_Origin</t>
  </si>
  <si>
    <t>Price_Premium_pct["Securities.Conv_Note.Series_B", "Rounds.Round_A"]|=B35</t>
  </si>
  <si>
    <t>Scenarios_Value</t>
  </si>
  <si>
    <t>Conv Note</t>
  </si>
  <si>
    <t>Date at which securities can first be converted or exercised to obtain common stock. A date beyond the end of model time indicates that there is no trigger date for conversion of the security.</t>
  </si>
  <si>
    <t>The amount of new liquidiation preference that is due to each class of security (before anything is paid to holders of junior securities, in the event of liquidiation), at the last phase (End) of each round</t>
  </si>
  <si>
    <t>Level As</t>
  </si>
  <si>
    <t>Converting_pct["Securities.Common", "Rounds.Seed"]|=B48</t>
  </si>
  <si>
    <t>Payout by Origin</t>
  </si>
  <si>
    <t xml:space="preserve">  Trigger_Value_pct</t>
  </si>
  <si>
    <t>ConvNote_Discount_pct["Securities.Common"]|=0</t>
  </si>
  <si>
    <t>Convert_Trigger_Date["Securities.Conv_Note.Series_A"]|=date(2011,4,1)</t>
  </si>
  <si>
    <t>Rounds, Phases.End, Securities.Common</t>
  </si>
  <si>
    <t>Investment_New_Sc0["Securities.Warrant", "Rounds.Exit"]|=0</t>
  </si>
  <si>
    <t>:A:-1:Payout_End</t>
  </si>
  <si>
    <t>:D:0:Securities.Preferred</t>
  </si>
  <si>
    <t>Firm_Value</t>
  </si>
  <si>
    <t>Trigger Invest</t>
  </si>
  <si>
    <t>Annualized discount rates used in computation of present values of investor cash flows</t>
  </si>
  <si>
    <t>prevde(0, "Rounds", Lastd("Phases", OptionWar_Exercise_Amt))</t>
  </si>
  <si>
    <t xml:space="preserve">  Seed</t>
  </si>
  <si>
    <t>var(round(1000000*dimitemnum("Rounds")^(0.6+0.4*dimitemnum("Rounds")), -4))</t>
  </si>
  <si>
    <t>Phase</t>
  </si>
  <si>
    <t>The amount of liquidiation preference that is due to each class of security (before anything is paid to holders of junior securities, in the event of liquidiation), at the last phase (End) of each round</t>
  </si>
  <si>
    <t>if((prevde(0, "Rounds", Investment_Net["Phases.End"])+Dividend+Investment_New)/(1+Price_Premium_pct)&gt;(1+Convert_Liq_Premium_pct)*prevde(0, "Rounds", Liq_Preference_End)+Investment_New*Liq_Multiple, 1, 0)</t>
  </si>
  <si>
    <t>:A:-1:Return_Multiple</t>
  </si>
  <si>
    <t>Units_New_Sc0["Securities.Option.Series_B", "Rounds.Exit"]|=0/3/10</t>
  </si>
  <si>
    <t>Investment!Event_Date</t>
  </si>
  <si>
    <t>Maximum fraction of the value of a firm that can be in senior securities in order that a series of convertible securities converts. (Other conversion criteria involve dates and minimum equity funding raised by the company.)</t>
  </si>
  <si>
    <t>Event_Date</t>
  </si>
  <si>
    <t>:A:0:Return_Multiple</t>
  </si>
  <si>
    <t>Converting_pct["Securities.Warrant", "Rounds.Round_A"]|=C49</t>
  </si>
  <si>
    <t>Exit</t>
  </si>
  <si>
    <t>Investment_New_Sc0["Securities.Common", "Rounds.Seed"]|=100000</t>
  </si>
  <si>
    <t>Units_New_Sc0["Securities.Warrant", "Rounds.Seed"]|=0/3/5</t>
  </si>
  <si>
    <t>Investment_New_Sc0["Securities.Conv_Note.Series_A", "Rounds.Round_A"]|=0</t>
  </si>
  <si>
    <t>:D:0:Phases.Start</t>
  </si>
  <si>
    <t>:D:0:Rounds.Round_A</t>
  </si>
  <si>
    <t>ifm(isleafd("Rounds"), sum(rangedru("Securities", Payout_End)), "")</t>
  </si>
  <si>
    <t>Discount_Rate_Yr["Securities.Conv_Note.Series_A"]|=0.30</t>
  </si>
  <si>
    <t>:A:0:IRR_Initial_Guess_Yr</t>
  </si>
  <si>
    <t>Units_New_Sc0["Securities.Warrant", "Rounds.Round_A"]|=0/3/5</t>
  </si>
  <si>
    <t>Gross investment including value of converted securities, and excluding preferred dividends and interest payments on notes, segmented by type of security, by investment round</t>
  </si>
  <si>
    <t>The amount of exercise payments due upon exercise of outstanding warrants and options. For Phase Convert, the amount of exercise payments made to exercise warrants and options in each round.</t>
  </si>
  <si>
    <t>New Units Sold</t>
  </si>
  <si>
    <t>IRR_XIRR_Yr</t>
  </si>
  <si>
    <t>prevde(0, "Rounds", Lastd("Phases", Investment_by_Origin))+Dividend</t>
  </si>
  <si>
    <t>if(Convert_Trigger_Value_pct*Firm_Value["Phases.Post_Sales"]&gt;Investment_by_Origin["Securities.Conv_Note", "Phases.Post_Sales"], 1, 0)</t>
  </si>
  <si>
    <t>var(if(Event_Date&gt;=Convert_Trigger_Date, 1, 0))</t>
  </si>
  <si>
    <t>Conversion_Decisions_Default</t>
  </si>
  <si>
    <t>Convert Trigger Invest</t>
  </si>
  <si>
    <t>:A:0:Convert_Trigger_Invest_Amt</t>
  </si>
  <si>
    <t>Invest_by_Origin_exDiv_LastRnd</t>
  </si>
  <si>
    <t>Scenarios_Value_Dim</t>
  </si>
  <si>
    <t>Units_Net</t>
  </si>
  <si>
    <t>Rounds, Securities.Common, Convert_Conditions</t>
  </si>
  <si>
    <t>Liq Preference New</t>
  </si>
  <si>
    <t>Rounds, Phases.Convert, Securities.Warrant</t>
  </si>
  <si>
    <t>Rounds, Phases.Convert, Securities</t>
  </si>
  <si>
    <t>:D:1:Securities.Option</t>
  </si>
  <si>
    <t>Option</t>
  </si>
  <si>
    <t>Price_Unit_New["Securities.Conv_Note.Series_B", "Rounds.Round_A"]|='(Other Computations)'!C19</t>
  </si>
  <si>
    <t>Discount_Rate_Yr</t>
  </si>
  <si>
    <t>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t>
  </si>
  <si>
    <t>Dimension (item)</t>
  </si>
  <si>
    <t>Common</t>
  </si>
  <si>
    <t>The amount of funds that would be paid to each type of security if liquidation occurs at the end of an investment round. Warrants and options are exercised if they are in the money. The common payout pool covers common shares, including exercised warrants and options.</t>
  </si>
  <si>
    <t>The multiple of new investment that is added to liquidation preference for each class of security, in each investment round</t>
  </si>
  <si>
    <t>Dividend_pct_Yr</t>
  </si>
  <si>
    <t>ABC Corp.</t>
  </si>
  <si>
    <t xml:space="preserve">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
  </si>
  <si>
    <t>prevde(0, "Rounds", Lastd("Phases", Invest_by_Origin_exDiv))</t>
  </si>
  <si>
    <t>Units_New_Sc0["Securities.Conv_Note.Series_A", "Rounds.Exit"]|=0/3/10</t>
  </si>
  <si>
    <t>Units_New_Sc0["Securities.Common", "Rounds.Exit"]|=0/3/5</t>
  </si>
  <si>
    <t>Scenarios_Invest_Dim</t>
  </si>
  <si>
    <t>Variable</t>
  </si>
  <si>
    <t>:D:2:Rounds</t>
  </si>
  <si>
    <t>Dividend paid on common stock, paid at the beginning of each investment round</t>
  </si>
  <si>
    <t>:A:-1:Conversion_Decisions_Default</t>
  </si>
  <si>
    <t>% Converting</t>
  </si>
  <si>
    <t>Price_Premium_pct["Securities.Warrant", "Rounds.Round_A"]|=B40</t>
  </si>
  <si>
    <t>:A:0:Event_Date</t>
  </si>
  <si>
    <t>:A:-1:Payout_by_Origin_pct_LastRnd</t>
  </si>
  <si>
    <t>IRR_Initial_Guess_Yr["Securities.Preferred.Series_A"]|=0.50</t>
  </si>
  <si>
    <t xml:space="preserve">  Common</t>
  </si>
  <si>
    <t>Liq_Multiple</t>
  </si>
  <si>
    <t>Rounds, Securities.Warrant</t>
  </si>
  <si>
    <t>Convert_Trigger_Invest_Amt["Securities.Common"]|=1500000</t>
  </si>
  <si>
    <t>Price_Unit_New["Securities.Preferred.Series_A", "Rounds.Seed"]|='(Other Computations)'!B23</t>
  </si>
  <si>
    <t>:D:0:Convert_Conditions.Trigger_Price</t>
  </si>
  <si>
    <t>Net Present Value</t>
  </si>
  <si>
    <t>Investment_New_Sc0["Securities.Option.Series_A", "Rounds.Exit"]|=0</t>
  </si>
  <si>
    <t>Rounds, Securities.Conv_Note, Convert_Conditions.Trigger_Value_pct</t>
  </si>
  <si>
    <t>Event_Date_Sc0["Rounds.Round_A"]|=date(2010, 11*2-3, 1)</t>
  </si>
  <si>
    <t>:D:2:Securities.Conv_Note</t>
  </si>
  <si>
    <t>:D:0:Phases.New_Sales</t>
  </si>
  <si>
    <t>The percentage of the entire payout that is paid to each type of security in the final (exit) round</t>
  </si>
  <si>
    <t>:A:-1:IRR_Initial_Guess_Yr</t>
  </si>
  <si>
    <t>Convert_Trigger_Value_pct["Securities.Option.Series_A"]|=0.50</t>
  </si>
  <si>
    <t>Firstd("Phases", Firm_Value)+Firm_Value["Phases.New_Sales"]</t>
  </si>
  <si>
    <t>Dividend_by_Origin</t>
  </si>
  <si>
    <t>Factor by which common shares are split before the start of each investment round</t>
  </si>
  <si>
    <t>Invest_by_Origin_exDiv["Phases.Post_Sales"]+Invest_by_Origin_exDiv["Phases.Convert"]</t>
  </si>
  <si>
    <t>:D:1:Securities.Preferred</t>
  </si>
  <si>
    <t>:A:0:Price_Premium_pct</t>
  </si>
  <si>
    <t>Percent of outstanding convertible notes and preferred stock converting; and percent of outstanding warrants and options exercising in each investment round.
The model starts with default decisions for what securities to exercise or convert and when. These default decisions are computed in the variable 'Conversion Decisions Default'.
You can override the default conversion decisions by entering new values.</t>
  </si>
  <si>
    <t>Dividend</t>
  </si>
  <si>
    <t>Units_New_Sc0["Securities.Warrant", "Rounds.Exit"]|=0/3/5</t>
  </si>
  <si>
    <t>Price_Premium_pct["Securities.Option.Series_B", "Rounds.Round_A"]|=B42</t>
  </si>
  <si>
    <t>:D:1:Securities</t>
  </si>
  <si>
    <t>if(Investment_by_Origin["Securities.Common", "Phases.Post_Sales"]+Investment_by_Origin["Securities.Preferred", "Phases.Post_Sales"]+Investment_by_Origin["Securities.Conv_Note", "Phases.Post_Sales"]&gt;=var(Convert_Trigger_Invest_Amt), 1, 0)</t>
  </si>
  <si>
    <t>:A:0:Convert_Trigger_Date</t>
  </si>
  <si>
    <t>Payout_End+if(Lastd("Phases", Units_Net["Securities.Common"])=0, 0, Shares_Common_by_Origin/Lastd("Phases", Units_Net["Securities.Common"])*Payout_End["Securities.Common"])</t>
  </si>
  <si>
    <t>Rounds, Phases.Convert, Securities.Option</t>
  </si>
  <si>
    <t>Minimum amount of equity capital that the company must raise before securities can be converted or exercised to obtain common stock. An amount greater than the capitalization of the company indicates that the security cannot be converted (or exercised).</t>
  </si>
  <si>
    <t>Rounds, Phases.New_Sales, Securities.Option</t>
  </si>
  <si>
    <t>Price_Unit_New["Securities.Option.Series_B", "Rounds.Seed"]|=max(0, B110*Prices!B20+B110*(-B126))</t>
  </si>
  <si>
    <t>:A:0:Conversion_Decisions_Default</t>
  </si>
  <si>
    <t>New investments due to sale of new convertible notes, preferred and common shares, by investment round; investment scenario 1. New warrants and options are tracked in variable Shares_New because they are specified by number of new shares, not new investment.</t>
  </si>
  <si>
    <t>Payout_Pool_End</t>
  </si>
  <si>
    <t>Convert_Trigger_Value_pct["Securities.Conv_Note.Series_A"]|=0.50</t>
  </si>
  <si>
    <t>Subtotal</t>
  </si>
  <si>
    <t>Units_New_Sc0["Securities.Conv_Note.Series_B", "Rounds.Round_A"]|=0/3/10</t>
  </si>
  <si>
    <t>Convert_Liq_Premium_pct["Securities.Conv_Note.Series_B"]|=0.2</t>
  </si>
  <si>
    <t>Investment_New_Sc0["Securities.Warrant", "Rounds.Seed"]|=0</t>
  </si>
  <si>
    <t>Price_Premium_pct["Securities.Warrant", "Rounds.Exit"]|=C40</t>
  </si>
  <si>
    <t>:A:-1:Firm_Value</t>
  </si>
  <si>
    <t>Seed</t>
  </si>
  <si>
    <t>Dividend_pct_Yr["Securities.Common"]|=0</t>
  </si>
  <si>
    <t xml:space="preserve">  Exit</t>
  </si>
  <si>
    <t>:A:0:Dividend_Common</t>
  </si>
  <si>
    <t>OptionWar_Exercise_Price</t>
  </si>
  <si>
    <t>Convert_Trigger_Date["Securities.Preferred.Series_A"]|=date(2011,4,1)</t>
  </si>
  <si>
    <t>Investment_New_Sc0["Securities.Conv_Note.Series_B", "Rounds.Exit"]|=0</t>
  </si>
  <si>
    <t>Split_Factor_Start["Rounds.Round_A"]|=1</t>
  </si>
  <si>
    <t>Security 2</t>
  </si>
  <si>
    <t>Price_Premium_pct["Securities.Option.Series_A", "Rounds.Seed"]|=0</t>
  </si>
  <si>
    <t>Dimension Index</t>
  </si>
  <si>
    <t>Converting_pct["Securities.Option.Series_B", "Rounds.Seed"]|=B51</t>
  </si>
  <si>
    <t>:A:0:Investment_Net</t>
  </si>
  <si>
    <t>Rounds, Phases.End, Securities</t>
  </si>
  <si>
    <t>:D:0:Phases.Convert</t>
  </si>
  <si>
    <t>Rounds, Phases.New_Sales, Securities</t>
  </si>
  <si>
    <t>Price_Unit_New["Securities.Option.Series_A", "Rounds.Seed"]|=max(0, B111*Prices!B20+B111*(-B127))</t>
  </si>
  <si>
    <t>:A:-1:Firm_Value_Start</t>
  </si>
  <si>
    <t>Price_Unit_New["Securities.Conv_Note.Series_B", "Rounds.Exit"]|='(Other Computations)'!D19</t>
  </si>
  <si>
    <t>:A:-1:Convert_Trigger_Date</t>
  </si>
  <si>
    <t>Converting_pct["Securities.Common", "Rounds.Exit"]|=D48</t>
  </si>
  <si>
    <t>Rounds, Phases.Start, Securities</t>
  </si>
  <si>
    <t>Dividend in kind for convertible notes (before conversion), preferred stock (before conversion), and common stock, paid at start of each investment round</t>
  </si>
  <si>
    <t>:A:-1:Units_New_Sc0</t>
  </si>
  <si>
    <t>dimitemnum("Scenarios_Value")</t>
  </si>
  <si>
    <t>OptionWar_Exercise_Amt["Phases.Convert"]</t>
  </si>
  <si>
    <t>:D:1:Phases</t>
  </si>
  <si>
    <t>ConvNote_Discount_pct["Securities.Conv_Note.Series_A"]|=0.30</t>
  </si>
  <si>
    <t>Dividend_Common</t>
  </si>
  <si>
    <t>Rounds, Phases.Start</t>
  </si>
  <si>
    <t>:A:-1:Firm_Value_Start_Sc0</t>
  </si>
  <si>
    <t>:D:0:Securities.Conv_Note.Series_B</t>
  </si>
  <si>
    <t>0</t>
  </si>
  <si>
    <t>Funds paid out that are imputed (if paid) to original investments in each type of security, at the end of each investment round. Warrants and options are exercised if they are in the money. The common payout pool covers common shares, including exercised warrants and options.</t>
  </si>
  <si>
    <t>Price_Unit_New["Securities.Preferred.Series_A", "Rounds.Round_A"]|='(Other Computations)'!C23</t>
  </si>
  <si>
    <t>:A:-1:Price_Unit_Conv</t>
  </si>
  <si>
    <t>Units_Net["Phases.Post_Sales"]+Units_Net["Phases.Convert", "Securities"]</t>
  </si>
  <si>
    <t>if((prevde(0, "Rounds", Investment_Net["Phases.End"])+Dividend+Investment_New)/(1-ConvNote_Discount_pct)&gt;(1+Convert_Liq_Premium_pct)*(prevde(0, "Rounds", Liq_Preference_End)+Investment_New*Liq_Multiple), 1, 0)</t>
  </si>
  <si>
    <t>Payout_End</t>
  </si>
  <si>
    <t>Series B</t>
  </si>
  <si>
    <t>XIRR(ranged("Rounds", IRR_Cash_Flow), ranged("Rounds", Event_Date), IRR_Initial_Guess_Yr)</t>
  </si>
  <si>
    <t>Rounds, Securities.Preferred, Convert_Conditions.Liquidation</t>
  </si>
  <si>
    <t>Convert_Liq_Premium_pct["Securities.Conv_Note.Series_A"]|=0.2</t>
  </si>
  <si>
    <t>Converting_pct*Investment_Net["Phases.Post_Sales"]/var(Price_Unit_Conv["Securities.Common"])/(1-ConvNote_Discount_pct)</t>
  </si>
  <si>
    <t>:A:-1:Dividend_by_Origin</t>
  </si>
  <si>
    <t>Converting_pct["Securities.Conv_Note.Series_B", "Rounds.Exit"]|=D44</t>
  </si>
  <si>
    <t>Net Units</t>
  </si>
  <si>
    <t>Price_Unit_New_pct["Securities.Preferred.Series_A"]|=1</t>
  </si>
  <si>
    <t>Rounds, Phases.End</t>
  </si>
  <si>
    <t>dimitemnum("Scenarios_Invest")</t>
  </si>
  <si>
    <t>Convert_Trigger_Invest_Amt["Securities.Conv_Note.Series_B"]|=1000000</t>
  </si>
  <si>
    <t>ifm(isleafd("Rounds"), sum(rangedru("Securities", Shares_Common_by_Origin)), lastd("Rounds", Shares_Common_by_Origin))</t>
  </si>
  <si>
    <t>Convert_Trigger_Value_pct["Securities.Common"]|=0.50</t>
  </si>
  <si>
    <t>date(2010, 11*dimitemnum("Rounds")-3, 1)</t>
  </si>
  <si>
    <t>Split Factor</t>
  </si>
  <si>
    <t>:A:-1:ConvNote_Discount_pct</t>
  </si>
  <si>
    <t>Liq_Preference_End</t>
  </si>
  <si>
    <t>Convert_Trigger_Value_pct["Securities.Conv_Note.Series_B"]|=0.50</t>
  </si>
  <si>
    <t>Investment_New_Sc0["Securities.Common", "Rounds.Exit"]|=0</t>
  </si>
  <si>
    <t>Trigger Value %</t>
  </si>
  <si>
    <t>Units_Net["Phases.Post_Sales"]-Units_Net["Phases.Convert"]</t>
  </si>
  <si>
    <t>IRR Initial Guess (Yr)</t>
  </si>
  <si>
    <t>if(Price_Unit_Start["Securities.Common"]=0, 0, Investment_Net/Price_Unit_Start["Securities.Common"])</t>
  </si>
  <si>
    <t>Exercise Price</t>
  </si>
  <si>
    <t>:D:0:Securities.Option</t>
  </si>
  <si>
    <t>:D:2:Convert_Conditions.Trigger_Date</t>
  </si>
  <si>
    <t>Price_Premium_pct["Securities.Common", "Rounds.Seed"]|=0</t>
  </si>
  <si>
    <t>IRR_Initial_Guess_Yr["Securities.Warrant"]|=0.50</t>
  </si>
  <si>
    <t>Units_New_Sc0["Securities.Preferred.Series_A", "Rounds.Round_A"]|=0/3/5</t>
  </si>
  <si>
    <t>:A:-1:Invest_by_Origin_exDiv_LastRnd</t>
  </si>
  <si>
    <t>Convert</t>
  </si>
  <si>
    <t>Investment_New_Sc0["Securities.Option.Series_A", "Rounds.Seed"]|=0</t>
  </si>
  <si>
    <t>ifm(isleafd("Rounds"), sum(rangedru("Securities", IRR_Cash_Flow)), "")</t>
  </si>
  <si>
    <t>Ratio (price at which new units are purchased) / (common share price - exercise price).</t>
  </si>
  <si>
    <t>Lastd("Rounds", Payout_by_Origin_pct)</t>
  </si>
  <si>
    <t>Rounds, Securities.Conv_Note</t>
  </si>
  <si>
    <t>max(0, (Dividend+Investment_Net["Phases.New_Sales"])*Liq_Multiple)</t>
  </si>
  <si>
    <t>Price_Unit_New["Securities.Preferred.Series_A", "Rounds.Exit"]|='(Other Computations)'!D23</t>
  </si>
  <si>
    <t>:A:0:Units_Net</t>
  </si>
  <si>
    <t>Price_Unit_New["Securities.Option.Series_A", "Rounds.Exit"]|=max(0, B111*Prices!D20+B111*(-B127))</t>
  </si>
  <si>
    <t>Rounds, Securities.Warrant, Convert_Conditions.Trigger_Price</t>
  </si>
  <si>
    <t>:D:0:Securities.Option.Series_A</t>
  </si>
  <si>
    <t>New investments due to sale of new convertible notes, preferred and common shares, by investment round. New warrants and options are tracked in variable Shares_New because they are specified by number of new shares, not new investment.</t>
  </si>
  <si>
    <t>Converting_pct["Securities.Preferred.Series_A", "Rounds.Round_A"]|=C47</t>
  </si>
  <si>
    <t>Exercise price for each class of stock option. Upon exercise of a warrant or option, the holder pays the exercise price to the company in cash, which amount is added to Investment by Origin for the warrant or option, and added to Net Investment for common stock.</t>
  </si>
  <si>
    <t>Roll-up:</t>
  </si>
  <si>
    <t>Dividend_pct_Yr["Securities.Preferred.Series_A"]|=0.06</t>
  </si>
  <si>
    <t>Convert_Trigger_Date["Securities.Warrant"]|=date(2011,4,1)</t>
  </si>
  <si>
    <t>Net_Present_Value_XNPV</t>
  </si>
  <si>
    <t>Price_Premium_pct["Securities.Option.Series_B", "Rounds.Seed"]|=0</t>
  </si>
  <si>
    <t>:A:-1:IRR_Cash_Flow</t>
  </si>
  <si>
    <t>Event_Date_Sc0</t>
  </si>
  <si>
    <t>Discount_Rate_Yr["Securities.Warrant"]|=0.30</t>
  </si>
  <si>
    <t>Price_Unit_New["Securities.Conv_Note.Series_A", "Rounds.Round_A"]|='(Other Computations)'!C20</t>
  </si>
  <si>
    <t>Price_Premium_pct["Securities.Preferred.Series_A", "Rounds.Round_A"]|=B68</t>
  </si>
  <si>
    <t>Convert_Trigger_Value_pct["Securities.Warrant"]|=0.50</t>
  </si>
  <si>
    <t>Event_Date_Sc0["Rounds.Seed"]|=date(2010, 11*1-3, 1)</t>
  </si>
  <si>
    <t>Converting_pct["Securities.Warrant", "Rounds.Seed"]|=B49</t>
  </si>
  <si>
    <t>Converting_pct["Securities.Option.Series_A", "Rounds.Exit"]|=D52</t>
  </si>
  <si>
    <t>ConvNote_Discount_pct["Securities.Option.Series_A"]|=0</t>
  </si>
  <si>
    <t>:A:0:Invest_by_Origin_exDiv_LastRnd</t>
  </si>
  <si>
    <t>Price_Unit_New_pct["Securities.Conv_Note.Series_A"]|=1</t>
  </si>
  <si>
    <t>New Sales</t>
  </si>
  <si>
    <t>Liq_Multiple["Securities.Preferred.Series_A"]|=1</t>
  </si>
  <si>
    <t>Securities</t>
  </si>
  <si>
    <t>:D:0:Phases.End</t>
  </si>
  <si>
    <t>Units_New_Sc0["Securities.Option.Series_B", "Rounds.Round_A"]|=0/3/10</t>
  </si>
  <si>
    <t>Converting_pct*Investment_Net["Phases.Post_Sales"]</t>
  </si>
  <si>
    <t>:D:-1:Securities</t>
  </si>
  <si>
    <t xml:space="preserve">  Start</t>
  </si>
  <si>
    <t>:A:-1:Event_Date_Sc0</t>
  </si>
  <si>
    <t xml:space="preserve">  Option</t>
  </si>
  <si>
    <t>:D:1:Convert_Conditions</t>
  </si>
  <si>
    <t>max(0, Price_Unit_Conv["Securities.Common"])</t>
  </si>
  <si>
    <t>Units_New_Sc0["Securities.Conv_Note.Series_A", "Rounds.Seed"]|=0/3/10</t>
  </si>
  <si>
    <t>Firm_Value_Start_Sc0</t>
  </si>
  <si>
    <t>Firm_Value_Start_Sc0["Rounds.Round_A"]|=round(1000000*2^(0.6+0.4*2), -4)</t>
  </si>
  <si>
    <t>Convert_Trigger_Invest_Amt["Securities.Conv_Note.Series_A"]|=1000000</t>
  </si>
  <si>
    <t>:A:0:Dividend_pct_Yr</t>
  </si>
  <si>
    <t>Investment_New_Sc0["Securities.Option.Series_B", "Rounds.Seed"]|=0</t>
  </si>
  <si>
    <t>:D:0:Convert_Conditions.Liquidation</t>
  </si>
  <si>
    <t>Start</t>
  </si>
  <si>
    <t>Price_Unit_New</t>
  </si>
  <si>
    <t>Converting_pct["Securities.Option.Series_A", "Rounds.Round_A"]|=C52</t>
  </si>
  <si>
    <t>var(ifm(and(diminfo("Securities", 0)="Common", dimitemnum("Rounds")=1), 100000, 0))</t>
  </si>
  <si>
    <t>:A:0:Conversion_Decisions_Detail</t>
  </si>
  <si>
    <t>abs(product(ranged("Convert_Conditions", Conversion_Decisions_Detail)))</t>
  </si>
  <si>
    <t>Rounds, Phases.New_Sales, Securities.Common</t>
  </si>
  <si>
    <t xml:space="preserve">  Trigger_Invest</t>
  </si>
  <si>
    <t>Cash flows used to compute present values and internal rates of return for each series and type of security. Includes founders non-cash contributions in the first round and payouts in the last round.</t>
  </si>
  <si>
    <t>Dividend_pct_Yr["Securities.Conv_Note.Series_B"]|=0.04</t>
  </si>
  <si>
    <t>:A:0:Convert_Trigger_Value_pct</t>
  </si>
  <si>
    <t>ConvNote_Discount_pct["Securities.Option.Series_B"]|=0</t>
  </si>
  <si>
    <t>Cash Flow</t>
  </si>
  <si>
    <t>Security</t>
  </si>
  <si>
    <t>:D:0:Convert_Conditions.Trigger_Date</t>
  </si>
  <si>
    <t xml:space="preserve">  Preferred</t>
  </si>
  <si>
    <t>ifm(isleafd("Rounds"), Payout_by_Origin/Payout_by_Origin["Securities"], " ")</t>
  </si>
  <si>
    <t>:D:2:Convert_Conditions</t>
  </si>
  <si>
    <t>Dividend by Origin</t>
  </si>
  <si>
    <t>Rounds</t>
  </si>
  <si>
    <t>A list of the funding rounds</t>
  </si>
  <si>
    <t>IRR_Cash_Flow</t>
  </si>
  <si>
    <t>Units 'in the Money'</t>
  </si>
  <si>
    <t>:A:0:Liq_Preference_End</t>
  </si>
  <si>
    <t>""</t>
  </si>
  <si>
    <t xml:space="preserve">  Trigger_Price</t>
  </si>
  <si>
    <t>:A:0:Scenarios_Invest_Dim</t>
  </si>
  <si>
    <t>Convert_Liq_Premium_pct["Securities.Option.Series_A"]|=0</t>
  </si>
  <si>
    <t>Firstd("Phases", Units_Net)+Units_Net["Phases.New_Sales"]</t>
  </si>
  <si>
    <t>Rounds, Securities.Common</t>
  </si>
  <si>
    <t>Rounds, Securities, Convert_Conditions.Trigger_Invest</t>
  </si>
  <si>
    <t>Price_Premium_pct["Securities.Conv_Note.Series_B", "Rounds.Exit"]|=C35</t>
  </si>
  <si>
    <t>Trigger Price</t>
  </si>
  <si>
    <t>Units_New</t>
  </si>
  <si>
    <t>:A:0:ConvNote_Discount_pct</t>
  </si>
  <si>
    <t>Investment_New_Sc0["Securities.Option.Series_A", "Rounds.Round_A"]|=0</t>
  </si>
  <si>
    <t>prevde(0, "Rounds", Shares_Common_by_Origin)*Split_Factor_Start+Units_Net["Phases.New_Sales"]</t>
  </si>
  <si>
    <t xml:space="preserve">    Series_B</t>
  </si>
  <si>
    <t>prevde(0, "Rounds")</t>
  </si>
  <si>
    <t>Converting_pct["Securities.Option.Series_B", "Rounds.Round_A"]|=C51</t>
  </si>
  <si>
    <t>Converting_pct["Securities.Preferred.Series_A", "Rounds.Exit"]|=D47</t>
  </si>
  <si>
    <t>:D:0:Phases.Post_Sales</t>
  </si>
  <si>
    <t>Display Label</t>
  </si>
  <si>
    <t>Trigger Date</t>
  </si>
  <si>
    <t>Firm Value Start</t>
  </si>
  <si>
    <t>Units_New_Sc0["Securities.Conv_Note.Series_A", "Rounds.Round_A"]|=0/3/10</t>
  </si>
  <si>
    <t>:A:-1:Price_Premium_pct</t>
  </si>
  <si>
    <t>Total As</t>
  </si>
  <si>
    <t>:A:0:IRR_Cash_Flow</t>
  </si>
  <si>
    <t>Investment_New_Sc0["Securities.Conv_Note.Series_B", "Rounds.Seed"]|=0</t>
  </si>
  <si>
    <t>Converting_pct</t>
  </si>
  <si>
    <t>Numbers of new warrants and options sold, by investment round, for investment scenario 1. Sales of new convertible notes, preferred stock and common stock are input as new investment, from which new shares are computed.</t>
  </si>
  <si>
    <t>:A:0:Price_Unit_Start</t>
  </si>
  <si>
    <t>Rounds, Phases.New_Sales, Securities.Warrant</t>
  </si>
  <si>
    <t>The types of securities and the series within each type.
* A convertible note is a loan that is convertible to common stock subject to certain restrictions of time and circumstances.
* Preferred stock is equity that has preference rights over common stock in payouts from the company, usually accrues a dividend in each time period, may be convertible to common stock under some circumstances, and may have preferential voting rights.
* A warrant is an option that is issued by and guaranteed by the company (whereas options are not so guaranteed)
* An option means a "call option" to buy one share of common stock at a fixed "exercise price" before the end of life of the option.
You can add new types of securities and new rounds in ModelSheet, but not in exported spreadsheets.</t>
  </si>
  <si>
    <t>:A:-1:Liq_Multiple</t>
  </si>
  <si>
    <t>Units_New_Sc0["Securities.Option.Series_A", "Rounds.Round_A"]|=0/3/10</t>
  </si>
  <si>
    <t>Units_Net["Phases.New_Sales"]*Price_Unit_New</t>
  </si>
  <si>
    <t>Convert_Liq_Premium_pct["Securities.Preferred.Series_A"]|=-0.2</t>
  </si>
  <si>
    <t>Discount_Rate_Yr["Securities.Option.Series_B"]|=0.30</t>
  </si>
  <si>
    <t>:A:-1:Price_Unit_New_pct</t>
  </si>
  <si>
    <t>Investment_New_Sc0["Securities.Common", "Rounds.Round_A"]|=0</t>
  </si>
  <si>
    <t>:A:-1:Investment_Net</t>
  </si>
  <si>
    <t>Price at which new warrants and options are purchased. Warrant and option prices are based on current stock price, ignoring the variance of stock price over time.</t>
  </si>
  <si>
    <t>:A:-1:OptionWar_in_Money</t>
  </si>
  <si>
    <t>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t>
  </si>
  <si>
    <t xml:space="preserve">  Warrant</t>
  </si>
  <si>
    <t>Converting_pct["Securities.Conv_Note.Series_B", "Rounds.Round_A"]|=C44</t>
  </si>
  <si>
    <t>Initial Common Price</t>
  </si>
  <si>
    <t>:D:0:Convert_Conditions</t>
  </si>
  <si>
    <t>Convert_Liq_Premium_pct["Securities.Option.Series_B"]|=0</t>
  </si>
  <si>
    <t>Dividend_pct_Yr["Securities.Option.Series_B"]|=0</t>
  </si>
  <si>
    <t xml:space="preserve">The price of each type of security at the start of each investment round. Prices for sale of new securities in general differ from prices for conversion or exercise of securities in transactions at a later phase. These prices for unexercised options do not account for effects of stock volatility etc. in option pricing models. </t>
  </si>
  <si>
    <t>:A:0:Liq_Preference_New</t>
  </si>
  <si>
    <t>Dividend_Common["Rounds.Seed"]|=0/3</t>
  </si>
  <si>
    <t>Convert_Trigger_Value_pct</t>
  </si>
  <si>
    <t>The transaction phases within each funding round. The phases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Dividends are paid and splits occur between rounds, and are included in Start totals.</t>
  </si>
  <si>
    <t>Liq_Multiple["Securities.Conv_Note.Series_A"]|=1</t>
  </si>
  <si>
    <t>Lastd("Rounds", Payout_by_Origin)</t>
  </si>
  <si>
    <t>Price_Common_Init[]|</t>
  </si>
  <si>
    <t>Rounds, Securities, Convert_Conditions</t>
  </si>
  <si>
    <t>IRR_Initial_Guess_Yr</t>
  </si>
  <si>
    <t>:A:0:Price_Unit_Conv</t>
  </si>
  <si>
    <t>Price_Unit_New["Securities.Option.Series_B", "Rounds.Exit"]|=max(0, B110*Prices!D20+B110*(-B126))</t>
  </si>
  <si>
    <t xml:space="preserve">  End</t>
  </si>
  <si>
    <t>Split_Factor_Start["Rounds.Exit"]|=1</t>
  </si>
  <si>
    <t>Payout_by_Origin_pct</t>
  </si>
  <si>
    <t>Investment_by_Origin["Phases.New_Sales"]+Investment_by_Origin["Phases.Convert"]+var(ifm(dimitemnum("Rounds", 0)=1, 0*0, 0))-if(iserror(nextd("Rounds", Payout_by_Origin)), lastd("Phases", Payout_by_Origin), 0)</t>
  </si>
  <si>
    <t>Units_New_Sc0["Securities.Option.Series_A", "Rounds.Seed"]|=0/3/10</t>
  </si>
  <si>
    <t>The amount of funds available for payout to each type of security at phase End (after conversion of notes and exercise of warrants and options), in each investment round. The common payout pool covers common shares, including exercised warrants and options.</t>
  </si>
  <si>
    <t>Investment_Net["Phases.Post_Sales"]+Investment_Net["Securities", "Phases.Convert"]+OptionWar_Exercise_Amt["Securities", "Phases.Convert"]</t>
  </si>
  <si>
    <t>Conversion_Decisions_Detail</t>
  </si>
  <si>
    <t>Number of common shares that originated from conversion or exercise of each type of security or sale of common shares, recorded at the end of each investment round</t>
  </si>
  <si>
    <t>Dividend_pct_Yr["Securities.Warrant"]|=0</t>
  </si>
  <si>
    <t>Investment by Origin</t>
  </si>
  <si>
    <t>Liq_Multiple["Securities.Warrant"]|=0</t>
  </si>
  <si>
    <t>:A:-1:Convert_Liq_Premium_pct</t>
  </si>
  <si>
    <t>Price_Unit_Start["Securities.Common"]*(1+Price_Premium_pct)</t>
  </si>
  <si>
    <t>Investment_New_Sc0["Securities.Preferred.Series_A", "Rounds.Round_A"]|=0</t>
  </si>
  <si>
    <t>Liq_Multiple["Securities.Option.Series_A"]|=0</t>
  </si>
  <si>
    <t>:A:-1:Converting_pct</t>
  </si>
  <si>
    <t>Dividend_Common["Rounds.Exit"]|=0/3</t>
  </si>
  <si>
    <t>Investment_New_Sc0</t>
  </si>
  <si>
    <t>:D:1:Rounds</t>
  </si>
  <si>
    <t>Price_Unit_New["Securities.Conv_Note.Series_B", "Rounds.Seed"]|='(Other Computations)'!B19</t>
  </si>
  <si>
    <t>Investment_New_Sc0["Securities.Preferred.Series_A", "Rounds.Exit"]|=0</t>
  </si>
  <si>
    <t>Liq_Multiple["Securities.Conv_Note.Series_B"]|=1</t>
  </si>
  <si>
    <t>Return Multiple</t>
  </si>
  <si>
    <t>The percentage of funds paid out that are imputed (if paid) to original investments in each type of security, at the end of the last investment round. Warrants and options are exercised if they are in the money. The common payout pool covers common shares, including exercised warrants and options.</t>
  </si>
  <si>
    <t>Conversion Liq Premium %</t>
  </si>
  <si>
    <t>Firstd("Phases", OptionWar_Exercise_Amt)+OptionWar_Exercise_Amt["Phases.New_Sales"]</t>
  </si>
  <si>
    <t>Date of each investment round</t>
  </si>
  <si>
    <t>Price_Unit_New_pct["Securities.Conv_Note.Series_B"]|=1</t>
  </si>
  <si>
    <t>New Investment</t>
  </si>
  <si>
    <t>:A:0:Firm_Value_Start_Sc0</t>
  </si>
  <si>
    <t>Units_New_Sc0["Securities.Preferred.Series_A", "Rounds.Seed"]|=0/3/5</t>
  </si>
  <si>
    <t>OptionWar_Exercise_Amt</t>
  </si>
  <si>
    <t>:A:0:Company_Name</t>
  </si>
  <si>
    <t>Investment_by_Origin["Phases.Post_Sales"]+Investment_by_Origin["Phases.Convert"]</t>
  </si>
  <si>
    <t>Rounds, Phases.Post_Sales, Securities</t>
  </si>
  <si>
    <t>:D:2:Rounds.Seed</t>
  </si>
  <si>
    <t>max(0, if(Units_Net["Phases.Post_Sales"]=0, 0, (Firm_Value["Phases.Post_Sales"]-Liq_Preference_End["Securities.Conv_Note"]-Liq_Preference_End["Securities.Preferred"]-sum(ranged("Securities.Conv_Note", Liq_Preference_New))-sum(ranged("Securities.Preferred", Liq_Preference_New)))/Units_Net["Phases.Post_Sales"]))</t>
  </si>
  <si>
    <t>Convert_Liq_Premium_pct["Securities.Common"]|=0</t>
  </si>
  <si>
    <t>If(Lastd("Rounds", Lastd("Phases", Invest_by_Origin_exDiv))+0*0=0, 0, (Lastd("Rounds", Payout_by_Origin)+sum(ranged("Rounds", Dividend)))/(Lastd("Rounds", Lastd("Phases", Invest_by_Origin_exDiv))+0*0))</t>
  </si>
  <si>
    <t>Convert_Trigger_Invest_Amt["Securities.Warrant"]|=1500000</t>
  </si>
  <si>
    <t>:D:0:Convert_Conditions.Trigger_Value_pct</t>
  </si>
  <si>
    <t>Net Investment</t>
  </si>
  <si>
    <t>Rounds, Phases.New_Sales, Securities.Preferred</t>
  </si>
  <si>
    <t>Date of each investment round, determined by investment scenario selected</t>
  </si>
  <si>
    <t>:D:0:Securities.Preferred.Series_A</t>
  </si>
  <si>
    <t>:A:-1:Liq_Preference_End</t>
  </si>
  <si>
    <t>Payout %</t>
  </si>
  <si>
    <t>Initial common share price at the start of the seed round</t>
  </si>
  <si>
    <t>Units_New_Sc0["Securities.Common", "Rounds.Seed"]|=0/3/5</t>
  </si>
  <si>
    <t>Investment_Net/Price_Unit_Start/(1-Price_Premium_pct)</t>
  </si>
  <si>
    <t>:A:0:OptionWar_Exercise_Amt</t>
  </si>
  <si>
    <t>The multiple of investment (ex-dividends) that each type of security gets. This is a straight multiple with no discounting for the time value of money. The value of founders' noncash contributions are included as investments in this computation.</t>
  </si>
  <si>
    <t>:A:-1:Investment_New</t>
  </si>
  <si>
    <t>Internal rate of return of cash flow to holders of each series and type of security. Includes new investments, exercise payments (for warrants and options) and final payout at the end of the last investment round.</t>
  </si>
  <si>
    <t>Investment_Net</t>
  </si>
  <si>
    <t>:A:0:Payout_by_Origin_Last</t>
  </si>
  <si>
    <t>Investment_New_Sc0["Securities.Conv_Note.Series_A", "Rounds.Seed"]|=0</t>
  </si>
  <si>
    <t>Price_Unit_New_pct["Securities.Option.Series_B"]|=1</t>
  </si>
  <si>
    <t>:A:-1:IRR_XIRR_Yr</t>
  </si>
  <si>
    <t>Total</t>
  </si>
  <si>
    <t>Price_Unit_New["Securities.Common", "Rounds.Round_A"]|='(Other Computations)'!C25</t>
  </si>
  <si>
    <t>Price_Unit_New_pct["Securities.Option.Series_A"]|=1</t>
  </si>
  <si>
    <t>Lastd("Rounds", Invest_by_Origin_exDiv)</t>
  </si>
  <si>
    <t>:A:0:Split_Factor_Start</t>
  </si>
  <si>
    <t>:A:-1:Payout_End_pct</t>
  </si>
  <si>
    <t>Split_Factor_Start["Rounds.Seed"]|=1</t>
  </si>
  <si>
    <t>:A:0:Dividend_by_Origin</t>
  </si>
  <si>
    <t>Price_Premium_pct["Securities.Common", "Rounds.Exit"]|=C39</t>
  </si>
  <si>
    <t>ifm(and(isleafd("Securities"), isleafd("Rounds")), abs(product(ranged("Convert_Conditions"))), " ")</t>
  </si>
  <si>
    <t>Investment_New_Sc0["Securities.Option.Series_B", "Rounds.Exit"]|=0</t>
  </si>
  <si>
    <t>Price_Unit_New_pct["Securities.Warrant"]|=1</t>
  </si>
  <si>
    <t>Firm_Value_Start_Sc0["Rounds.Exit"]|=round(1000000*3^(0.6+0.4*3), -4)</t>
  </si>
  <si>
    <t>Dividend_Common["Rounds.Round_A"]|=0/3</t>
  </si>
  <si>
    <t>:D:-1:Rounds</t>
  </si>
  <si>
    <t>prevde(var(Firm_Value_Start)+Investment_Net["Securities", "Phases.New_Sales"]+OptionWar_Exercise_Amt["Securities", "Phases.Convert"], "Securities", Payout_Pool_End-Payout_End, 1, 0)</t>
  </si>
  <si>
    <t>Converting_pct["Securities.Conv_Note.Series_A", "Rounds.Round_A"]|=C45</t>
  </si>
  <si>
    <t>Rounds, Phases.Convert, Securities.Conv_Note</t>
  </si>
  <si>
    <t>:A:0:OptionWar_in_Money</t>
  </si>
  <si>
    <t>if(dimitemnum("Rounds")=1, Price_Common_Init, (Firstd("Phases", Firm_Value)-Firstd("Phases", Investment_by_Origin["Securities.Conv_Note"])-Firstd("Phases", Investment_by_Origin["Securities.Preferred"]))/(Firstd("Phases", Units_Net["Securities.Preferred"])+Firstd("Phases", Units_Net["Securities.Warrant"])+Firstd("Phases", Units_Net["Securities.Option"])+Firstd("Phases", Units_Net["Securities.Common"])))</t>
  </si>
  <si>
    <t>if(OptionWar_Exercise_Price&lt;Price_Unit_Conv["Securities.Common"], 1, 0)</t>
  </si>
  <si>
    <t>Price_Unit_New["Securities.Warrant", "Rounds.Exit"]|=max(0, Boneyard!D26*D20+Boneyard!D26*(-'(Other Computations)'!B12))</t>
  </si>
  <si>
    <t>Conversion Trigger Value %</t>
  </si>
  <si>
    <t>Number of unexercised warrants and options that are in the money in phase End, for each investment round. Used in variable Payout in denominators of formulas.</t>
  </si>
  <si>
    <t>:A:-1:Shares_Common_by_Origin</t>
  </si>
  <si>
    <t>prevde(0, "Rounds", Lastd("Phases", Investment_Net))+Dividend</t>
  </si>
  <si>
    <t>:A:-1:Units_New</t>
  </si>
  <si>
    <t>Firstd("Phases", Invest_by_Origin_exDiv)+Invest_by_Origin_exDiv["Phases.New_Sales"]</t>
  </si>
  <si>
    <t>:A:0:Event_Date_Sc0</t>
  </si>
  <si>
    <t>Note Conversion Discount %</t>
  </si>
  <si>
    <t>max(0, prevde(0, "Rounds", Liq_Preference_End)+(Dividend+Investment_Net["Phases.New_Sales"]-Investment_Net["Phases.Convert"])*Liq_Multiple)</t>
  </si>
  <si>
    <t>Investment Scenarios</t>
  </si>
  <si>
    <t>Price_Unit_New["Securities.Warrant", "Rounds.Seed"]|=max(0, Boneyard!D26*B20+Boneyard!D26*(-'(Other Computations)'!B12))</t>
  </si>
  <si>
    <t>:A:-1:Dividend_Common</t>
  </si>
  <si>
    <t>:A:0:Payout_Pool_End</t>
  </si>
  <si>
    <t>Price_Premium_pct["Securities.Common", "Rounds.Round_A"]|=B39</t>
  </si>
  <si>
    <t>:D:0:Securities.Conv_Note</t>
  </si>
  <si>
    <t>Convert_Conditions</t>
  </si>
  <si>
    <t>The percentage of funds paid out that are imputed (if paid) to original investments in each type of security, at the end of each investment round. Warrants and options are exercised if they are in the money. The common payout pool covers common shares, including exercised warrants and options.</t>
  </si>
  <si>
    <t>:A:0:Liq_Multiple</t>
  </si>
  <si>
    <t>OptionWar_in_Money/(Lastd("Phases", Units_Net["Securities.Common"])+OptionWar_in_Money["Securities"])*Payout_Pool_End["Securities.Common"]</t>
  </si>
  <si>
    <t>Units_New_Sc0["Securities.Conv_Note.Series_B", "Rounds.Exit"]|=0/3/10</t>
  </si>
  <si>
    <t>Convert_Liq_Premium_pct["Securities.Warrant"]|=0</t>
  </si>
  <si>
    <t>Formula / Data</t>
  </si>
  <si>
    <t>Converting_pct["Securities.Warrant", "Rounds.Exit"]|=D49</t>
  </si>
  <si>
    <t>:A:-1:Price_Unit_Start</t>
  </si>
  <si>
    <t>Event_Date_Sc0["Rounds.Exit"]|=date(2010, 11*3-3, 1)</t>
  </si>
  <si>
    <t>:D:0:Rounds.Seed</t>
  </si>
  <si>
    <t>:A:0:Discount_Rate_Yr</t>
  </si>
  <si>
    <t>Rounds, Securities.Preferred, Convert_Conditions.Trigger_Value_pct</t>
  </si>
  <si>
    <t>:D:0:Phases</t>
  </si>
  <si>
    <t>Convert_Liq_Premium_pct</t>
  </si>
  <si>
    <t>Price_Unit_New_pct</t>
  </si>
  <si>
    <t>Units_New_Sc0["Securities.Option.Series_A", "Rounds.Exit"]|=0/3/10</t>
  </si>
  <si>
    <t>Convert_Trigger_Value_pct["Securities.Preferred.Series_A"]|=0.50</t>
  </si>
  <si>
    <t>:D:0:Securities.Common</t>
  </si>
  <si>
    <t>:A:0:Invest_by_Origin_exDiv</t>
  </si>
  <si>
    <t>min(Payout_Pool_End, max(Liq_Preference_End, Lastd("Phases", Investment_Net)/Price_Unit_Conv*Price_Unit_Conv["Securities.Common"]))</t>
  </si>
  <si>
    <t>Payout by Origin %</t>
  </si>
  <si>
    <t>:A:0:Converting_pct</t>
  </si>
  <si>
    <t>Valuation of the firm at the start of each investment round</t>
  </si>
  <si>
    <t>Converting_pct["Securities.Conv_Note.Series_A", "Rounds.Seed"]|=B45</t>
  </si>
  <si>
    <t>Exercise Amt</t>
  </si>
  <si>
    <t>Rounds, Securities, Convert_Conditions.Trigger_Date</t>
  </si>
  <si>
    <t>Price_Unit_New_pct["Securities.Common"]|=1</t>
  </si>
  <si>
    <t>Securities, Rounds</t>
  </si>
  <si>
    <t>Dividend_pct_Yr["Securities.Conv_Note.Series_A"]|=0.04</t>
  </si>
  <si>
    <t>Converting_pct["Securities.Option.Series_B", "Rounds.Exit"]|=D51</t>
  </si>
  <si>
    <t>:A:0:Payout_End</t>
  </si>
  <si>
    <t>:A:0:Investment_by_Origin</t>
  </si>
  <si>
    <t>:D:0:Securities.Option.Series_B</t>
  </si>
  <si>
    <t>Dividend_pct_Yr*prevde(0, "Rounds", Lastd("Phases", Investment_Net))*var(datediff(Event_Date, prevde(firstd("Rounds", Event_Date), "Rounds", Event_Date)))/365</t>
  </si>
  <si>
    <t>Dividend Common</t>
  </si>
  <si>
    <t>New Units</t>
  </si>
  <si>
    <t>Firm_Value["Phases.Post_Sales"]+Firm_Value["Phases.Convert"]</t>
  </si>
  <si>
    <t>Comment</t>
  </si>
  <si>
    <t>Convert_Trigger_Invest_Amt["Securities.Preferred.Series_A"]|=1500000</t>
  </si>
  <si>
    <t>OptionWar_Exercise_Amt["Phases.Post_Sales"]-OptionWar_Exercise_Amt["Phases.Convert"]</t>
  </si>
  <si>
    <t>ConvNote_Discount_pct["Securities.Warrant"]|=0</t>
  </si>
  <si>
    <t>Dividend_Common*prevde(0, "Rounds", Shares_Common_by_Origin/Lastd("Phases", Units_Net["Securities.Common"]))</t>
  </si>
  <si>
    <t>Discount_Rate_Yr["Securities.Common"]|=0.30</t>
  </si>
  <si>
    <t>Price_Premium_pct</t>
  </si>
  <si>
    <t>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t>
  </si>
  <si>
    <t>Round A</t>
  </si>
  <si>
    <t>Units_New_Sc0["Securities.Conv_Note.Series_B", "Rounds.Seed"]|=0/3/10</t>
  </si>
  <si>
    <t>ifm(isleafd("Rounds"), if(sum(rangedru("Securities", Units_New))=0, 0, sumproduct(rangedru("Securities", Price_Unit_Start), rangedru("Securities", Units_New))/sum(rangedru("Securities", Units_New))), "")</t>
  </si>
  <si>
    <t>:A:0:IRR_XIRR_Yr</t>
  </si>
  <si>
    <t>Investment_by_Origin</t>
  </si>
  <si>
    <t>Price_Unit_New["Securities.Option.Series_A", "Rounds.Round_A"]|=max(0, B111*Prices!C20+B111*(-B127))</t>
  </si>
  <si>
    <t>Series A</t>
  </si>
  <si>
    <t>Liq_Preference_New</t>
  </si>
  <si>
    <t>:A:-1:Payout_by_Origin_pct</t>
  </si>
  <si>
    <t>Price New Unit</t>
  </si>
  <si>
    <t>Price_Unit_New["Securities.Conv_Note.Series_A", "Rounds.Seed"]|='(Other Computations)'!B20</t>
  </si>
  <si>
    <t>:A:-1:Company_Name</t>
  </si>
  <si>
    <t>Firstd("Phases", Investment_by_Origin)+Investment_by_Origin["Phases.New_Sales"]</t>
  </si>
  <si>
    <t>Converting_pct["Securities.Conv_Note.Series_A", "Rounds.Exit"]|=D45</t>
  </si>
  <si>
    <t>Converting_pct*OptionWar_Exercise_Amt["Phases.Post_Sales"]</t>
  </si>
  <si>
    <t>:D:-1:Phases</t>
  </si>
  <si>
    <t>:A:-1:Invest_by_Origin_exDiv</t>
  </si>
  <si>
    <t>:A:-1:Conversion_Decisions_Detail</t>
  </si>
  <si>
    <t>Net present value of cash flows to each series of each type of security. Each series and type of security can have its own discount rate to reflect different risks.</t>
  </si>
  <si>
    <t>prevde(0, "Rounds", Lastd("Phases", Units_Net))*Split_Factor_Start</t>
  </si>
  <si>
    <t>:A:-1:Price_Common_Init</t>
  </si>
  <si>
    <t>Dividend_pct_Yr["Securities.Option.Series_A"]|=0</t>
  </si>
  <si>
    <t>Price_Premium_pct["Securities.Warrant", "Rounds.Seed"]|=0</t>
  </si>
  <si>
    <t>Numbers of new warrants and options sold, by investment round. Sales of new convertible notes, preferred stock and common stock are input as new investment, from which new shares are computed.</t>
  </si>
  <si>
    <t>:A:-1:Scenarios_Invest_Dim</t>
  </si>
  <si>
    <t>Convert_Trigger_Invest_Amt["Securities.Option.Series_B"]|=1500000</t>
  </si>
  <si>
    <t>:A:-1:Payout_by_Origin_Last</t>
  </si>
  <si>
    <t>:A:-1:Discount_Rate_Yr</t>
  </si>
  <si>
    <t>Units_New_Sc0["Securities.Preferred.Series_A", "Rounds.Exit"]|=0/3/5</t>
  </si>
  <si>
    <t xml:space="preserve">  Conv_Note</t>
  </si>
  <si>
    <t>Rounds, Phases.New_Sales</t>
  </si>
  <si>
    <t>ifm(isleafd("Rounds"), Payout_End/Payout_End["Securities"], "")</t>
  </si>
  <si>
    <t>Initial guess at internal rate of return of the cash flow for holders of each series and type of security, to start the iterative solution for the IRR</t>
  </si>
  <si>
    <t xml:space="preserve">  Convert</t>
  </si>
  <si>
    <t xml:space="preserve">  Trigger_Date</t>
  </si>
  <si>
    <t>Dividend rate for preferred stock, and interest rate paid on convertible notes before conversion</t>
  </si>
  <si>
    <t>Converting_pct["Securities.Common", "Rounds.Round_A"]|=C48</t>
  </si>
  <si>
    <t>Dividend_pct_Yr*prevde(0, "Rounds", Lastd("Phases", Investment_Net))*var(Event_Date-prevde(firstd("Rounds", Event_Date), "Rounds", Event_Date))/365+Dividend_Common*prevde(0, "Rounds", Shares_Common_by_Origin/Lastd("Phases", Units_Net["Securities.Common"]))</t>
  </si>
  <si>
    <t>Invest_by_Origin_exDiv</t>
  </si>
  <si>
    <t>:A:-1:Units_Net</t>
  </si>
  <si>
    <t>IRR_Initial_Guess_Yr["Securities.Common"]|=0.50</t>
  </si>
  <si>
    <t>Data:</t>
  </si>
  <si>
    <t>Price_Premium_pct["Securities.Preferred.Series_A", "Rounds.Exit"]|=C68</t>
  </si>
  <si>
    <t xml:space="preserve">  Liquidation</t>
  </si>
  <si>
    <t xml:space="preserve">  Round_A</t>
  </si>
  <si>
    <t>Funds paid out that are imputed (if paid) to original investments in each type of security, at the end of the last investment round. Warrants and options are exercised if they are in the money. The common payout pool covers common shares, including exercised warrants and options.</t>
  </si>
  <si>
    <t>:A:0:Payout_by_Origin_pct</t>
  </si>
  <si>
    <t>The discount percent on prevailing common share price that accrue to holders of each series of convertible security at the time of conversion or exercise. This discount is a reward for investing early when the risk was presumed higher.</t>
  </si>
  <si>
    <t>ConvNote_Discount_pct["Securities.Preferred.Series_A"]|=0</t>
  </si>
  <si>
    <t>Price_Premium_pct["Securities.Conv_Note.Series_A", "Rounds.Exit"]|=C36</t>
  </si>
  <si>
    <t>:A:-1:Convert_Trigger_Value_pct</t>
  </si>
  <si>
    <t>:A:0:Firm_Value</t>
  </si>
  <si>
    <t>ConvNote_Discount_pct["Securities.Conv_Note.Series_B"]|=0.30</t>
  </si>
  <si>
    <t>Price_Unit_New["Securities.Warrant", "Rounds.Round_A"]|=max(0, Boneyard!D26*C20+Boneyard!D26*(-'(Other Computations)'!B12))</t>
  </si>
  <si>
    <t>Rounds, Securities.Option</t>
  </si>
  <si>
    <t>Net investment at each phase of each investment round, segmented by type of security. Converted notes and preferred shares and exercised warrants and options are subtracted and added to common stock. Exercise $ amounts for warrants and options are added to Net Investment for common stock.
The phase are:
* Start = outstanding investment in securities at the beginning of the round
* New Sales = new investment in securities in the round
* Post Sales = gross investment in securities after sale of new securities
* Convert = investment value of securities being converted (notes) or exercised (warrants and options)
* End = investments at the end of the round (with converted and exercised securties recorded as common stock)</t>
  </si>
  <si>
    <t>IRR_Initial_Guess_Yr["Securities.Conv_Note.Series_A"]|=0.50</t>
  </si>
  <si>
    <t>Price Premium %</t>
  </si>
  <si>
    <t>if(Lastd("Phases", Units_Net["Securities.Common"])=0, 0, Shares_Common_by_Origin/Lastd("Phases", Units_Net["Securities.Common"])*Payout_End["Securities.Common"])</t>
  </si>
  <si>
    <t>Display As</t>
  </si>
  <si>
    <t>This variable encodes the default conversion decisions for securities. 
+1 means all conversion conditions are satisfied
0 means some conversion condition is not satisfied
This information determines the default values for conversion percents for each security in each round, found in variable 'Convert %'.
You can get detail on which conversion conditions are or are not satisfied in variable 'Conversion Decisions Detail'.</t>
  </si>
  <si>
    <t>Shares_Common_by_Origin</t>
  </si>
  <si>
    <t>:D:2:Securities.Conv_Note.Series_B</t>
  </si>
  <si>
    <t>Company_Name[]|</t>
  </si>
  <si>
    <t>IRR (Yr)</t>
  </si>
  <si>
    <t>var(index(ranged("Scenarios_Invest", Units_New_Sc0), 1))</t>
  </si>
  <si>
    <t>:D:0:Securities</t>
  </si>
  <si>
    <t>Capitalization Table</t>
  </si>
  <si>
    <t>You can customize this template by filling in a simple form, without editing a spreadsheet.</t>
  </si>
  <si>
    <t>This is a small and simplified working sample of the capitalization table template.</t>
  </si>
  <si>
    <r>
      <t xml:space="preserve">A </t>
    </r>
    <r>
      <rPr>
        <b/>
        <i/>
        <sz val="10"/>
        <rFont val="Arial"/>
        <family val="2"/>
      </rPr>
      <t>customizable</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</si>
  <si>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Get a customized version of this template on our website.</t>
  </si>
  <si>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</si>
  <si>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</si>
  <si>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</si>
  <si>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</si>
  <si>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</si>
  <si>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</si>
  <si>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</si>
  <si>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</si>
  <si>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</si>
  <si>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</si>
  <si>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</si>
  <si>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</si>
  <si>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</si>
  <si>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</si>
  <si>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Description of the Capitalization Table Model</t>
  </si>
  <si>
    <t>Types of Securities</t>
  </si>
  <si>
    <t>The model includes five types of securities.</t>
  </si>
  <si>
    <t>• Convertible notes earn non-cash payments (termed dividends). See Technical Notes below
   for default conversion rules.</t>
  </si>
  <si>
    <t xml:space="preserve">• Preferred shares earn a dividend and can convert to common stock. </t>
  </si>
  <si>
    <t>• Common stock</t>
  </si>
  <si>
    <t>• Warrants have an exercise price, a selling price, and exercise conditions. See Technical Notes below
   for default exercise rules.</t>
  </si>
  <si>
    <t>• Options have an exercise price, a selling price, and exercise conditions.</t>
  </si>
  <si>
    <t>Major Computed Results</t>
  </si>
  <si>
    <t>The model computes:</t>
  </si>
  <si>
    <r>
      <rPr>
        <sz val="10"/>
        <rFont val="Times New Roman"/>
        <family val="1"/>
      </rPr>
      <t>•</t>
    </r>
    <r>
      <rPr>
        <sz val="10"/>
        <rFont val="Arial"/>
        <family val="2"/>
      </rPr>
      <t xml:space="preserve"> the value and share units of each type of security owned before and after each transaction round.</t>
    </r>
  </si>
  <si>
    <t>• the number of share units of each type purchased at each transaction round.</t>
  </si>
  <si>
    <t>• the number of fully diluted common share units before and after each conversion event.</t>
  </si>
  <si>
    <t>• the valuation of each type of security before and after each transaction round, and the value of
   the enterprise before and after each transaction round.</t>
  </si>
  <si>
    <t>• the payout at liquidation to each type of security, accounting for liquidation preferences of senior securities.</t>
  </si>
  <si>
    <t>Investment Rounds</t>
  </si>
  <si>
    <t>The model includes a number of investment rounds that you can set, including 'Exit'. You can specify the number of rounds in your customized template.</t>
  </si>
  <si>
    <t>Phases within Each Investment Round</t>
  </si>
  <si>
    <t>Each investment round has five phases that occur in this order, and include these transactions.</t>
  </si>
  <si>
    <t>1. "Start Phase": Stock splits occur and dividends in kind are paid at the start of each investment round.</t>
  </si>
  <si>
    <t>2. "New Sales Phase": Sell new securities (convertible notes, preferred stock, warrants, options,
    common stock)</t>
  </si>
  <si>
    <t>3. "Post Sales Phase": Record investments and share units after sale of new securities.</t>
  </si>
  <si>
    <t>4. "Conversion Phase": Stakeholders can convert notes and preferred shares and can exercise warrants and
    options to obtain common stock.</t>
  </si>
  <si>
    <t>5. "End Phase": Record security holdings, prices and values at the end of the investment round.</t>
  </si>
  <si>
    <t>All five phases are assumed to occur on the date of the investment round.</t>
  </si>
  <si>
    <t>Investment and Return on Investment</t>
  </si>
  <si>
    <t>The model reports three measures of return on investment for each series of each type of security.</t>
  </si>
  <si>
    <t>• Return multiples: the multiple of investment that is paid out</t>
  </si>
  <si>
    <t>• Present value of the cash flow for each series of each type of security. The discount rates can differ across
  series and types of securities to reflect different risk profiles.</t>
  </si>
  <si>
    <t>• Internal rate of return for the cash flow from each type of security</t>
  </si>
  <si>
    <t>The key results are collected on worksheets 'Investment', 'Shares', 'Valuation', and 'Payout'.</t>
  </si>
  <si>
    <t>Technical Notes</t>
  </si>
  <si>
    <t>Valuation and Security Prices</t>
  </si>
  <si>
    <t>The following principles determine valuation and securities prices</t>
  </si>
  <si>
    <t xml:space="preserve">1. The value of the firm at the start of each investment round is an exogenous input that reflects the expected
   future cash flows of the firm. </t>
  </si>
  <si>
    <t>2. In any phase of an investment round, the sum of the values of all five types of securities equals the value of
    the firm. Similarly, the sum of th values of all series of a given type of security equals the value of that type
    of security.</t>
  </si>
  <si>
    <t>3. All unconverted notes and preferred shares are valued at their liquidation preferences.</t>
  </si>
  <si>
    <t>4. All unexercised warrants and options are valued at max(0, common share price - exercise price).
   This valuation ignores impact on option price of stock volatility, riskless returns, and dividend rate.</t>
  </si>
  <si>
    <t>5. The total value of all common shares equals the value of the firm less liquidiation preferences of
    unconverted notes and preferred shares less valuation of unexercised warrants and options.
   The price of a common share equals the value of all common shares / number of common shares.</t>
  </si>
  <si>
    <t>Conversion and Exercise Decisions</t>
  </si>
  <si>
    <t>The model includes default decisions for conversion of notes and preferred shares and exercise of warrants and
options. Five criteria just be satisfied in order for the default conversion and exercise decision to be positive.</t>
  </si>
  <si>
    <t>1. The date of the current round &gt;= a specified trigger date</t>
  </si>
  <si>
    <t>2. The sum of investments in common, preferred and notes &gt; a specified trigger investment threshhold</t>
  </si>
  <si>
    <t>3. For notes and preferred: investment in notes + preferred &lt; a stated fraction of firm value.</t>
  </si>
  <si>
    <t>4. For notes and preferred: value of common shares obtained &gt; (1+premium) * liquidation preference.</t>
  </si>
  <si>
    <t>5. For warrants and options: common share price &gt;= exercise price."</t>
  </si>
  <si>
    <t>You can set numerous parameters that influence these default conversion and exercise decisions. You can also override these default decision rules entirely by entering how much of each type of security is converted or exercised in each investment round.</t>
  </si>
  <si>
    <t>Inputs to the Model</t>
  </si>
  <si>
    <t>You can edit inputs in cells shaded darker blue on the worksheets 'Inputs' and 'Scenario Inputs.'</t>
  </si>
  <si>
    <t>• The number of investment rounds and their names and dates.</t>
  </si>
  <si>
    <t>• The valuation of the enterprise at the start of each investment round.</t>
  </si>
  <si>
    <t>• The amount invested in new common shares, preferred shares, and convertible notes in each round.</t>
  </si>
  <si>
    <t>• The number of new warrants and options purchased in each investment round.</t>
  </si>
  <si>
    <t>− The number of shares for convertible notes is not determined until conversion.</t>
  </si>
  <si>
    <t>− Parameters that determine unit purchase prices, conversion timing, and conversion prices for preferred
    stock, warrants and options.</t>
  </si>
  <si>
    <t>• The exercise price and purchase price of each type of option at each transaction event.</t>
  </si>
  <si>
    <t>You can also override the model's assumption for conversion and exercise of securities by entering new conversion percentages in the dark blue cells in variable 'Converting %' on worksheet 'Conversion'.</t>
  </si>
  <si>
    <t>Explore our customized templates.</t>
  </si>
  <si>
    <t>Learn more about consulting services.</t>
  </si>
  <si>
    <t>FinModel provides you with customized templates in three ways.</t>
  </si>
  <si>
    <t>• FinModel Excel templates are easier to understand. (Click on "+" for more information.)</t>
  </si>
  <si>
    <t>− Worksheet "Formulas" expresses the entire model with named variables and symbolic formulas. Although
   the symbolic formulas are not executable in Excel, they are what the model is made from in FinModel.</t>
  </si>
  <si>
    <t>− You never need to read inscrutable cell formulas to understand a FinModel customized template.</t>
  </si>
  <si>
    <t>2. If you want more customizations, retain FinModel Software to build them for you.</t>
  </si>
  <si>
    <t>• FinModel technology enables us to offer you more value for your consulting dollar.</t>
  </si>
  <si>
    <t>3. Use the FinModel Authoring Environment to build and customize your spreadsheet models.</t>
  </si>
  <si>
    <t>The FinModel Authoring Environment is a SaaS application for developing and maintaining business models and delivering them in conventional spreadsheets.</t>
  </si>
  <si>
    <t>Click "+" to learn more about FinModel technology that makes customized template possible.</t>
  </si>
  <si>
    <t>This Excel workbook was generated using FinModel, a revolutionary new spreadsheet technology. FinModel allows you to develop business models using readable formulas, while avoiding the details of cell addresses and hard-to-change sheet layouts. The end result is a conventional Excel workbook just like this one. We built FinModel because we believe that spreadsheets are a great way of communicating results but we think it's just too hard to use them to develop reliable, maintainable, expressive and collaborative models.</t>
  </si>
  <si>
    <t>You'll get a glimpse of FinModel's advantages when you take a look at the "Formulas" tab and realize how few separate, readable formulas are needed to produce all of the other worksheets. In addition to formulas, FinModel knows about the "dimensions" in your model (e.g., products, locations, departments) as well as the time series that you're using (e.g., 5 years in quarters.) FinModel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</si>
  <si>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FinModel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</si>
  <si>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FinModel and we'd like to hear about your needs for templates and models.</t>
  </si>
  <si>
    <t>Capitalization tables track investments, common and preferred shares, options, notes, preference rights through multiple rounds of financing of a company. The complexity of this application makes it an ideal application for FinModel. The Standard version does not contain all featurse listed below. See the comparison table on our website for more information.</t>
  </si>
  <si>
    <t>FinModel can easily change the number of series for each types of security. (Such changes would present a major challenge if authoring were performed using conventional spreadsheets).</t>
  </si>
  <si>
    <t>You can edit this phase structure of a round in customized templates. You can edit the phase structure using FinModel Authoring. This is a fairly complex process, but it is much easier to do with FinModel Authoring than with conventional spreadsheets.</t>
  </si>
  <si>
    <t>This Excel workbook was generated by FinModel on February 19, 2010, except for this worksheet of comments.</t>
  </si>
  <si>
    <t>Copyright © 2009, 2010 FinModel Software, LLC</t>
  </si>
  <si>
    <t>FinModel and the FinModel logo are registered trademarks of FinModel Software, LLC.</t>
  </si>
  <si>
    <t>Please visit our website at www.finmodel.at.ua</t>
  </si>
  <si>
    <t>Please visit our website at www.sites.google.com/site/bpogroupfinance</t>
  </si>
  <si>
    <t>or contact us at BPO.infosource@gmail.com</t>
  </si>
</sst>
</file>

<file path=xl/styles.xml><?xml version="1.0" encoding="utf-8"?>
<styleSheet xmlns="http://schemas.openxmlformats.org/spreadsheetml/2006/main">
  <numFmts count="10">
    <numFmt numFmtId="6" formatCode="&quot;$&quot;#,##0_);[Red]\(&quot;$&quot;#,##0\)"/>
    <numFmt numFmtId="8" formatCode="&quot;$&quot;#,##0.00_);[Red]\(&quot;$&quot;#,##0.00\)"/>
    <numFmt numFmtId="164" formatCode="m\/d\/yyyy"/>
    <numFmt numFmtId="165" formatCode="#,##0%"/>
    <numFmt numFmtId="166" formatCode="#,##0.0%"/>
    <numFmt numFmtId="167" formatCode="#,##0.000"/>
    <numFmt numFmtId="168" formatCode="#,##0.0"/>
    <numFmt numFmtId="169" formatCode="#,##0.00%"/>
    <numFmt numFmtId="170" formatCode="&quot;$&quot;#,##0.000_);[Red]\(&quot;$&quot;#,##0.000\)"/>
    <numFmt numFmtId="171" formatCode="&quot;$&quot;#,##0.0_);[Red]\(&quot;$&quot;#,##0.0\)"/>
  </numFmts>
  <fonts count="20">
    <font>
      <sz val="10"/>
      <name val="Arial"/>
      <family val="2"/>
    </font>
    <font>
      <sz val="10"/>
      <name val="Arial"/>
      <family val="2"/>
    </font>
    <font>
      <b/>
      <sz val="10"/>
      <color indexed="8"/>
      <name val="Arial"/>
      <family val="2"/>
    </font>
    <font>
      <sz val="8"/>
      <color indexed="8"/>
      <name val="Arial"/>
      <family val="2"/>
    </font>
    <font>
      <b/>
      <sz val="8"/>
      <color indexed="8"/>
      <name val="Arial"/>
      <family val="2"/>
    </font>
    <font>
      <b/>
      <u/>
      <sz val="9"/>
      <color indexed="8"/>
      <name val="Arial"/>
      <family val="2"/>
    </font>
    <font>
      <b/>
      <i/>
      <sz val="8"/>
      <color indexed="8"/>
      <name val="Arial"/>
      <family val="2"/>
    </font>
    <font>
      <i/>
      <sz val="8"/>
      <color indexed="8"/>
      <name val="Arial"/>
      <family val="2"/>
    </font>
    <font>
      <b/>
      <sz val="8"/>
      <name val="Arial"/>
      <family val="2"/>
    </font>
    <font>
      <b/>
      <sz val="12"/>
      <name val="Arial"/>
      <family val="2"/>
    </font>
    <font>
      <b/>
      <sz val="14"/>
      <name val="Arial"/>
      <family val="2"/>
    </font>
    <font>
      <b/>
      <sz val="11"/>
      <color indexed="10"/>
      <name val="Arial"/>
      <family val="2"/>
    </font>
    <font>
      <sz val="10"/>
      <color indexed="10"/>
      <name val="Arial"/>
      <family val="2"/>
    </font>
    <font>
      <b/>
      <i/>
      <sz val="10"/>
      <name val="Arial"/>
      <family val="2"/>
    </font>
    <font>
      <b/>
      <sz val="10"/>
      <name val="Arial"/>
      <family val="2"/>
    </font>
    <font>
      <b/>
      <sz val="11"/>
      <name val="Arial"/>
      <family val="2"/>
    </font>
    <font>
      <sz val="10"/>
      <name val="Times New Roman"/>
      <family val="1"/>
    </font>
    <font>
      <sz val="10"/>
      <name val="Calibri"/>
      <family val="2"/>
    </font>
    <font>
      <sz val="10"/>
      <color indexed="8"/>
      <name val="Arial"/>
      <family val="2"/>
    </font>
    <font>
      <u/>
      <sz val="10"/>
      <color theme="10"/>
      <name val="Arial"/>
      <family val="2"/>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rgb="FFCCCCFF"/>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theme="0"/>
      </left>
      <right style="thin">
        <color theme="0"/>
      </right>
      <top style="thin">
        <color theme="0"/>
      </top>
      <bottom style="thin">
        <color theme="0"/>
      </bottom>
      <diagonal/>
    </border>
  </borders>
  <cellStyleXfs count="195">
    <xf numFmtId="0" fontId="0" fillId="0" borderId="0">
      <alignment vertical="center"/>
    </xf>
    <xf numFmtId="0" fontId="19" fillId="0" borderId="0" applyNumberFormat="0" applyFill="0" applyBorder="0" applyAlignment="0" applyProtection="0">
      <alignment vertical="top"/>
      <protection locked="0"/>
    </xf>
    <xf numFmtId="0" fontId="2" fillId="2" borderId="0" applyNumberFormat="0" applyFont="0" applyFill="0" applyBorder="0" applyAlignment="0" applyProtection="0">
      <alignment vertical="top" shrinkToFit="1"/>
    </xf>
    <xf numFmtId="0" fontId="3" fillId="2" borderId="0" applyNumberFormat="0" applyFont="0" applyFill="0" applyBorder="0" applyAlignment="0" applyProtection="0">
      <alignment vertical="top" shrinkToFit="1"/>
    </xf>
    <xf numFmtId="0" fontId="4" fillId="2" borderId="1" applyNumberFormat="0" applyFont="0" applyFill="0" applyBorder="0" applyAlignment="0" applyProtection="0">
      <alignment vertical="top" shrinkToFit="1"/>
    </xf>
    <xf numFmtId="0" fontId="4" fillId="2" borderId="1" applyNumberFormat="0" applyFont="0" applyFill="0" applyBorder="0" applyAlignment="0" applyProtection="0">
      <alignment vertical="top" shrinkToFit="1"/>
    </xf>
    <xf numFmtId="0" fontId="4" fillId="3" borderId="1">
      <alignment horizontal="left" vertical="top" shrinkToFit="1"/>
      <protection locked="0"/>
    </xf>
    <xf numFmtId="0" fontId="5" fillId="2" borderId="0" applyNumberFormat="0" applyFont="0" applyFill="0" applyBorder="0" applyAlignment="0" applyProtection="0">
      <alignment vertical="top" shrinkToFit="1"/>
    </xf>
    <xf numFmtId="0" fontId="4" fillId="2" borderId="2" applyNumberFormat="0" applyFont="0" applyFill="0" applyBorder="0" applyAlignment="0" applyProtection="0">
      <alignment horizontal="center" vertical="top" shrinkToFit="1"/>
    </xf>
    <xf numFmtId="0" fontId="4" fillId="2" borderId="3" applyNumberFormat="0" applyFont="0" applyFill="0" applyBorder="0" applyAlignment="0" applyProtection="0">
      <alignment horizontal="center" vertical="top" shrinkToFit="1"/>
    </xf>
    <xf numFmtId="0" fontId="4" fillId="2" borderId="4" applyNumberFormat="0" applyFont="0" applyFill="0" applyBorder="0" applyAlignment="0" applyProtection="0">
      <alignment horizontal="center" vertical="top" shrinkToFit="1"/>
    </xf>
    <xf numFmtId="164" fontId="4" fillId="3" borderId="3" applyNumberFormat="0" applyFont="0" applyFill="0" applyBorder="0" applyAlignment="0" applyProtection="0">
      <alignment horizontal="right" vertical="top" shrinkToFit="1"/>
      <protection locked="0"/>
    </xf>
    <xf numFmtId="164" fontId="4" fillId="3" borderId="4">
      <alignment horizontal="right" vertical="top" shrinkToFit="1"/>
      <protection locked="0"/>
    </xf>
    <xf numFmtId="0" fontId="4" fillId="2" borderId="5" applyNumberFormat="0" applyFont="0" applyFill="0" applyBorder="0" applyAlignment="0" applyProtection="0">
      <alignment vertical="top" shrinkToFit="1"/>
    </xf>
    <xf numFmtId="6" fontId="4" fillId="2" borderId="5" applyNumberFormat="0" applyFont="0" applyFill="0" applyBorder="0" applyAlignment="0" applyProtection="0">
      <alignment horizontal="right" vertical="top" shrinkToFit="1"/>
    </xf>
    <xf numFmtId="0" fontId="6" fillId="2" borderId="6" applyNumberFormat="0" applyFont="0" applyFill="0" applyBorder="0" applyAlignment="0" applyProtection="0">
      <alignment vertical="top" shrinkToFit="1"/>
    </xf>
    <xf numFmtId="6" fontId="4" fillId="3" borderId="6" applyNumberFormat="0" applyFont="0" applyFill="0" applyBorder="0" applyAlignment="0" applyProtection="0">
      <alignment horizontal="right" vertical="top" shrinkToFit="1"/>
      <protection locked="0"/>
    </xf>
    <xf numFmtId="0" fontId="6" fillId="2" borderId="7" applyNumberFormat="0" applyFont="0" applyFill="0" applyBorder="0" applyAlignment="0" applyProtection="0">
      <alignment vertical="top" shrinkToFit="1"/>
    </xf>
    <xf numFmtId="6" fontId="4" fillId="3" borderId="7" applyNumberFormat="0" applyFont="0" applyFill="0" applyBorder="0" applyAlignment="0" applyProtection="0">
      <alignment horizontal="right" vertical="top" shrinkToFit="1"/>
      <protection locked="0"/>
    </xf>
    <xf numFmtId="0" fontId="4" fillId="2" borderId="1" applyNumberFormat="0" applyFont="0" applyFill="0" applyBorder="0" applyAlignment="0" applyProtection="0">
      <alignment horizontal="center" vertical="top" shrinkToFit="1"/>
    </xf>
    <xf numFmtId="6" fontId="4" fillId="2" borderId="8" applyNumberFormat="0" applyFont="0" applyFill="0" applyBorder="0" applyAlignment="0" applyProtection="0">
      <alignment horizontal="right" vertical="top" shrinkToFit="1"/>
    </xf>
    <xf numFmtId="6" fontId="3" fillId="3" borderId="0" applyNumberFormat="0" applyFont="0" applyFill="0" applyBorder="0" applyAlignment="0" applyProtection="0">
      <alignment horizontal="right" vertical="top" shrinkToFit="1"/>
      <protection locked="0"/>
    </xf>
    <xf numFmtId="6" fontId="4" fillId="2" borderId="6" applyNumberFormat="0" applyFont="0" applyFill="0" applyBorder="0" applyAlignment="0" applyProtection="0">
      <alignment horizontal="right" vertical="top" shrinkToFit="1"/>
    </xf>
    <xf numFmtId="0" fontId="4" fillId="2" borderId="7" applyNumberFormat="0" applyFont="0" applyFill="0" applyBorder="0" applyAlignment="0" applyProtection="0">
      <alignment vertical="top" shrinkToFit="1"/>
    </xf>
    <xf numFmtId="6" fontId="4" fillId="2" borderId="9" applyNumberFormat="0" applyFont="0" applyFill="0" applyBorder="0" applyAlignment="0" applyProtection="0">
      <alignment horizontal="right" vertical="top" shrinkToFit="1"/>
    </xf>
    <xf numFmtId="6" fontId="4" fillId="2" borderId="7" applyNumberFormat="0" applyFont="0" applyFill="0" applyBorder="0" applyAlignment="0" applyProtection="0">
      <alignment horizontal="right" vertical="top" shrinkToFit="1"/>
    </xf>
    <xf numFmtId="165" fontId="4" fillId="2" borderId="5" applyNumberFormat="0" applyFont="0" applyFill="0" applyBorder="0" applyAlignment="0" applyProtection="0">
      <alignment horizontal="right" vertical="top" shrinkToFit="1"/>
    </xf>
    <xf numFmtId="165" fontId="4" fillId="3" borderId="6" applyNumberFormat="0" applyFont="0" applyFill="0" applyBorder="0" applyAlignment="0" applyProtection="0">
      <alignment horizontal="right" vertical="top" shrinkToFit="1"/>
      <protection locked="0"/>
    </xf>
    <xf numFmtId="0" fontId="4" fillId="2" borderId="6" applyNumberFormat="0" applyFont="0" applyFill="0" applyBorder="0" applyAlignment="0" applyProtection="0">
      <alignment vertical="top" shrinkToFit="1"/>
    </xf>
    <xf numFmtId="166" fontId="4" fillId="2" borderId="6" applyNumberFormat="0" applyFont="0" applyFill="0" applyBorder="0" applyAlignment="0" applyProtection="0">
      <alignment horizontal="right" vertical="top" shrinkToFit="1"/>
    </xf>
    <xf numFmtId="166" fontId="4" fillId="3" borderId="6" applyNumberFormat="0" applyFont="0" applyFill="0" applyBorder="0" applyAlignment="0" applyProtection="0">
      <alignment horizontal="right" vertical="top" shrinkToFit="1"/>
      <protection locked="0"/>
    </xf>
    <xf numFmtId="166" fontId="4" fillId="3" borderId="7" applyNumberFormat="0" applyFont="0" applyFill="0" applyBorder="0" applyAlignment="0" applyProtection="0">
      <alignment horizontal="right" vertical="top" shrinkToFit="1"/>
      <protection locked="0"/>
    </xf>
    <xf numFmtId="167" fontId="4" fillId="2" borderId="5" applyNumberFormat="0" applyFont="0" applyFill="0" applyBorder="0" applyAlignment="0" applyProtection="0">
      <alignment horizontal="right" vertical="top" shrinkToFit="1"/>
    </xf>
    <xf numFmtId="167" fontId="4" fillId="3" borderId="6" applyNumberFormat="0" applyFont="0" applyFill="0" applyBorder="0" applyAlignment="0" applyProtection="0">
      <alignment horizontal="right" vertical="top" shrinkToFit="1"/>
      <protection locked="0"/>
    </xf>
    <xf numFmtId="167" fontId="4" fillId="3" borderId="7" applyNumberFormat="0" applyFont="0" applyFill="0" applyBorder="0" applyAlignment="0" applyProtection="0">
      <alignment horizontal="right" vertical="top" shrinkToFit="1"/>
      <protection locked="0"/>
    </xf>
    <xf numFmtId="164" fontId="4" fillId="2" borderId="5" applyNumberFormat="0" applyFont="0" applyFill="0" applyBorder="0" applyAlignment="0" applyProtection="0">
      <alignment horizontal="right" vertical="top" shrinkToFit="1"/>
    </xf>
    <xf numFmtId="164" fontId="4" fillId="3" borderId="6" applyNumberFormat="0" applyFont="0" applyFill="0" applyBorder="0" applyAlignment="0" applyProtection="0">
      <alignment horizontal="right" vertical="top" shrinkToFit="1"/>
      <protection locked="0"/>
    </xf>
    <xf numFmtId="4" fontId="4" fillId="2" borderId="6" applyNumberFormat="0" applyFont="0" applyFill="0" applyBorder="0" applyAlignment="0" applyProtection="0">
      <alignment horizontal="right" vertical="top" shrinkToFit="1"/>
    </xf>
    <xf numFmtId="4" fontId="4" fillId="3" borderId="6" applyNumberFormat="0" applyFont="0" applyFill="0" applyBorder="0" applyAlignment="0" applyProtection="0">
      <alignment horizontal="right" vertical="top" shrinkToFit="1"/>
      <protection locked="0"/>
    </xf>
    <xf numFmtId="4" fontId="4" fillId="3" borderId="7" applyNumberFormat="0" applyFont="0" applyFill="0" applyBorder="0" applyAlignment="0" applyProtection="0">
      <alignment horizontal="right" vertical="top" shrinkToFit="1"/>
      <protection locked="0"/>
    </xf>
    <xf numFmtId="165" fontId="4" fillId="2" borderId="7" applyNumberFormat="0" applyFont="0" applyFill="0" applyBorder="0" applyAlignment="0" applyProtection="0">
      <alignment horizontal="right" vertical="top" shrinkToFit="1"/>
    </xf>
    <xf numFmtId="166" fontId="4" fillId="2" borderId="5" applyNumberFormat="0" applyFont="0" applyFill="0" applyBorder="0" applyAlignment="0" applyProtection="0">
      <alignment horizontal="right" vertical="top" shrinkToFit="1"/>
    </xf>
    <xf numFmtId="166" fontId="4" fillId="2" borderId="7" applyNumberFormat="0" applyFont="0" applyFill="0" applyBorder="0" applyAlignment="0" applyProtection="0">
      <alignment horizontal="right" vertical="top" shrinkToFit="1"/>
    </xf>
    <xf numFmtId="0" fontId="4" fillId="2" borderId="0" applyNumberFormat="0" applyFont="0" applyFill="0" applyBorder="0" applyAlignment="0" applyProtection="0">
      <alignment vertical="top" shrinkToFit="1"/>
    </xf>
    <xf numFmtId="166" fontId="4" fillId="2" borderId="8" applyNumberFormat="0" applyFont="0" applyFill="0" applyBorder="0" applyAlignment="0" applyProtection="0">
      <alignment horizontal="right" vertical="top" shrinkToFit="1"/>
    </xf>
    <xf numFmtId="166" fontId="3" fillId="3" borderId="0" applyNumberFormat="0" applyFont="0" applyFill="0" applyBorder="0" applyAlignment="0" applyProtection="0">
      <alignment horizontal="right" vertical="top" shrinkToFit="1"/>
      <protection locked="0"/>
    </xf>
    <xf numFmtId="0" fontId="4" fillId="2" borderId="3" applyNumberFormat="0" applyFont="0" applyFill="0" applyBorder="0" applyAlignment="0" applyProtection="0">
      <alignment vertical="top" shrinkToFit="1"/>
    </xf>
    <xf numFmtId="6" fontId="4" fillId="2" borderId="0" applyNumberFormat="0" applyFont="0" applyFill="0" applyBorder="0" applyAlignment="0" applyProtection="0">
      <alignment horizontal="right" vertical="top" shrinkToFit="1"/>
    </xf>
    <xf numFmtId="165" fontId="4" fillId="2" borderId="6" applyNumberFormat="0" applyFont="0" applyFill="0" applyBorder="0" applyAlignment="0" applyProtection="0">
      <alignment horizontal="right" vertical="top" shrinkToFit="1"/>
    </xf>
    <xf numFmtId="8" fontId="4" fillId="3" borderId="1">
      <alignment horizontal="right" vertical="top" shrinkToFit="1"/>
      <protection locked="0"/>
    </xf>
    <xf numFmtId="6" fontId="4" fillId="3" borderId="3" applyNumberFormat="0" applyFont="0" applyFill="0" applyBorder="0" applyAlignment="0" applyProtection="0">
      <alignment horizontal="right" vertical="top" shrinkToFit="1"/>
      <protection locked="0"/>
    </xf>
    <xf numFmtId="6" fontId="4" fillId="2" borderId="1" applyNumberFormat="0" applyFont="0" applyFill="0" applyBorder="0" applyAlignment="0" applyProtection="0">
      <alignment horizontal="right" vertical="top" shrinkToFit="1"/>
    </xf>
    <xf numFmtId="167" fontId="4" fillId="3" borderId="3" applyNumberFormat="0" applyFont="0" applyFill="0" applyBorder="0" applyAlignment="0" applyProtection="0">
      <alignment horizontal="right" vertical="top" shrinkToFit="1"/>
      <protection locked="0"/>
    </xf>
    <xf numFmtId="167" fontId="4" fillId="3" borderId="4">
      <alignment horizontal="right" vertical="top" shrinkToFit="1"/>
      <protection locked="0"/>
    </xf>
    <xf numFmtId="8" fontId="4" fillId="3" borderId="3" applyNumberFormat="0" applyFont="0" applyFill="0" applyBorder="0" applyAlignment="0" applyProtection="0">
      <alignment horizontal="right" vertical="top" shrinkToFit="1"/>
      <protection locked="0"/>
    </xf>
    <xf numFmtId="8" fontId="4" fillId="2" borderId="1" applyNumberFormat="0" applyFont="0" applyFill="0" applyBorder="0" applyAlignment="0" applyProtection="0">
      <alignment horizontal="right" vertical="top" shrinkToFit="1"/>
    </xf>
    <xf numFmtId="165" fontId="4" fillId="3" borderId="1">
      <alignment horizontal="right" vertical="top" shrinkToFit="1"/>
      <protection locked="0"/>
    </xf>
    <xf numFmtId="166" fontId="4" fillId="3" borderId="1">
      <alignment horizontal="right" vertical="top" shrinkToFit="1"/>
      <protection locked="0"/>
    </xf>
    <xf numFmtId="165" fontId="4" fillId="3" borderId="7" applyNumberFormat="0" applyFont="0" applyFill="0" applyBorder="0" applyAlignment="0" applyProtection="0">
      <alignment horizontal="right" vertical="top" shrinkToFit="1"/>
      <protection locked="0"/>
    </xf>
    <xf numFmtId="8" fontId="4" fillId="2" borderId="8" applyNumberFormat="0" applyFont="0" applyFill="0" applyBorder="0" applyAlignment="0" applyProtection="0">
      <alignment horizontal="right" vertical="top" shrinkToFit="1"/>
    </xf>
    <xf numFmtId="8" fontId="4" fillId="2" borderId="5" applyNumberFormat="0" applyFont="0" applyFill="0" applyBorder="0" applyAlignment="0" applyProtection="0">
      <alignment horizontal="right" vertical="top" shrinkToFit="1"/>
    </xf>
    <xf numFmtId="8" fontId="3" fillId="3" borderId="0" applyNumberFormat="0" applyFont="0" applyFill="0" applyBorder="0" applyAlignment="0" applyProtection="0">
      <alignment horizontal="right" vertical="top" shrinkToFit="1"/>
      <protection locked="0"/>
    </xf>
    <xf numFmtId="8" fontId="4" fillId="2" borderId="6" applyNumberFormat="0" applyFont="0" applyFill="0" applyBorder="0" applyAlignment="0" applyProtection="0">
      <alignment horizontal="right" vertical="top" shrinkToFit="1"/>
    </xf>
    <xf numFmtId="8" fontId="4" fillId="2" borderId="0" applyNumberFormat="0" applyFont="0" applyFill="0" applyBorder="0" applyAlignment="0" applyProtection="0">
      <alignment horizontal="right" vertical="top" shrinkToFit="1"/>
    </xf>
    <xf numFmtId="168" fontId="4" fillId="2" borderId="0" applyNumberFormat="0" applyFont="0" applyFill="0" applyBorder="0" applyAlignment="0" applyProtection="0">
      <alignment horizontal="right" vertical="top" shrinkToFit="1"/>
    </xf>
    <xf numFmtId="168" fontId="4" fillId="2" borderId="6" applyNumberFormat="0" applyFont="0" applyFill="0" applyBorder="0" applyAlignment="0" applyProtection="0">
      <alignment horizontal="right" vertical="top" shrinkToFit="1"/>
    </xf>
    <xf numFmtId="168" fontId="3" fillId="3" borderId="0" applyNumberFormat="0" applyFont="0" applyFill="0" applyBorder="0" applyAlignment="0" applyProtection="0">
      <alignment horizontal="right" vertical="top" shrinkToFit="1"/>
      <protection locked="0"/>
    </xf>
    <xf numFmtId="168" fontId="4" fillId="2" borderId="9" applyNumberFormat="0" applyFont="0" applyFill="0" applyBorder="0" applyAlignment="0" applyProtection="0">
      <alignment horizontal="right" vertical="top" shrinkToFit="1"/>
    </xf>
    <xf numFmtId="168" fontId="4" fillId="2" borderId="7" applyNumberFormat="0" applyFont="0" applyFill="0" applyBorder="0" applyAlignment="0" applyProtection="0">
      <alignment horizontal="right" vertical="top" shrinkToFit="1"/>
    </xf>
    <xf numFmtId="0" fontId="7" fillId="2" borderId="6" applyNumberFormat="0" applyFont="0" applyFill="0" applyBorder="0" applyAlignment="0" applyProtection="0">
      <alignment vertical="top" shrinkToFit="1"/>
    </xf>
    <xf numFmtId="169" fontId="4" fillId="2" borderId="5" applyNumberFormat="0" applyFont="0" applyFill="0" applyBorder="0" applyAlignment="0" applyProtection="0">
      <alignment horizontal="right" vertical="top" shrinkToFit="1"/>
    </xf>
    <xf numFmtId="169" fontId="4" fillId="2" borderId="6" applyNumberFormat="0" applyFont="0" applyFill="0" applyBorder="0" applyAlignment="0" applyProtection="0">
      <alignment horizontal="right" vertical="top" shrinkToFit="1"/>
    </xf>
    <xf numFmtId="169" fontId="4" fillId="2" borderId="7" applyNumberFormat="0" applyFont="0" applyFill="0" applyBorder="0" applyAlignment="0" applyProtection="0">
      <alignment horizontal="right" vertical="top" shrinkToFit="1"/>
    </xf>
    <xf numFmtId="4" fontId="4" fillId="2" borderId="5" applyNumberFormat="0" applyFont="0" applyFill="0" applyBorder="0" applyAlignment="0" applyProtection="0">
      <alignment horizontal="right" vertical="top" shrinkToFit="1"/>
    </xf>
    <xf numFmtId="4" fontId="4" fillId="2" borderId="7">
      <alignment horizontal="right" vertical="top" shrinkToFit="1"/>
    </xf>
    <xf numFmtId="6" fontId="6" fillId="2" borderId="0" applyNumberFormat="0" applyFont="0" applyFill="0" applyBorder="0" applyAlignment="0" applyProtection="0">
      <alignment horizontal="right" vertical="top" shrinkToFit="1"/>
    </xf>
    <xf numFmtId="6" fontId="7" fillId="2" borderId="0" applyNumberFormat="0" applyFont="0" applyFill="0" applyBorder="0" applyAlignment="0" applyProtection="0">
      <alignment horizontal="right" vertical="top" shrinkToFit="1"/>
    </xf>
    <xf numFmtId="6" fontId="3" fillId="2" borderId="0" applyNumberFormat="0" applyFont="0" applyFill="0" applyBorder="0" applyAlignment="0" applyProtection="0">
      <alignment horizontal="right" vertical="top" shrinkToFit="1"/>
    </xf>
    <xf numFmtId="6" fontId="6" fillId="2" borderId="9" applyNumberFormat="0" applyFont="0" applyFill="0" applyBorder="0" applyAlignment="0" applyProtection="0">
      <alignment horizontal="right" vertical="top" shrinkToFit="1"/>
    </xf>
    <xf numFmtId="164" fontId="4" fillId="2" borderId="3" applyNumberFormat="0" applyFont="0" applyFill="0" applyBorder="0" applyAlignment="0" applyProtection="0">
      <alignment horizontal="center" vertical="top" shrinkToFit="1"/>
    </xf>
    <xf numFmtId="164" fontId="4" fillId="2" borderId="4" applyNumberFormat="0" applyFont="0" applyFill="0" applyBorder="0" applyAlignment="0" applyProtection="0">
      <alignment horizontal="center" vertical="top" shrinkToFit="1"/>
    </xf>
    <xf numFmtId="168" fontId="4" fillId="2" borderId="8" applyNumberFormat="0" applyFont="0" applyFill="0" applyBorder="0" applyAlignment="0" applyProtection="0">
      <alignment horizontal="right" vertical="top" shrinkToFit="1"/>
    </xf>
    <xf numFmtId="168" fontId="4" fillId="2" borderId="10" applyNumberFormat="0" applyFont="0" applyFill="0" applyBorder="0" applyAlignment="0" applyProtection="0">
      <alignment horizontal="right" vertical="top" shrinkToFit="1"/>
    </xf>
    <xf numFmtId="168" fontId="6" fillId="2" borderId="0" applyNumberFormat="0" applyFont="0" applyFill="0" applyBorder="0" applyAlignment="0" applyProtection="0">
      <alignment horizontal="right" vertical="top" shrinkToFit="1"/>
    </xf>
    <xf numFmtId="168" fontId="6" fillId="2" borderId="11" applyNumberFormat="0" applyFont="0" applyFill="0" applyBorder="0" applyAlignment="0" applyProtection="0">
      <alignment horizontal="right" vertical="top" shrinkToFit="1"/>
    </xf>
    <xf numFmtId="168" fontId="7" fillId="2" borderId="0" applyNumberFormat="0" applyFont="0" applyFill="0" applyBorder="0" applyAlignment="0" applyProtection="0">
      <alignment horizontal="right" vertical="top" shrinkToFit="1"/>
    </xf>
    <xf numFmtId="168" fontId="7" fillId="2" borderId="11" applyNumberFormat="0" applyFont="0" applyFill="0" applyBorder="0" applyAlignment="0" applyProtection="0">
      <alignment horizontal="right" vertical="top" shrinkToFit="1"/>
    </xf>
    <xf numFmtId="0" fontId="7" fillId="2" borderId="7" applyNumberFormat="0" applyFont="0" applyFill="0" applyBorder="0" applyAlignment="0" applyProtection="0">
      <alignment vertical="top" shrinkToFit="1"/>
    </xf>
    <xf numFmtId="168" fontId="7" fillId="2" borderId="9" applyNumberFormat="0" applyFont="0" applyFill="0" applyBorder="0" applyAlignment="0" applyProtection="0">
      <alignment horizontal="right" vertical="top" shrinkToFit="1"/>
    </xf>
    <xf numFmtId="168" fontId="7" fillId="2" borderId="12">
      <alignment horizontal="right" vertical="top" shrinkToFit="1"/>
    </xf>
    <xf numFmtId="168" fontId="4" fillId="2" borderId="5" applyNumberFormat="0" applyFont="0" applyFill="0" applyBorder="0" applyAlignment="0" applyProtection="0">
      <alignment horizontal="right" vertical="top" shrinkToFit="1"/>
    </xf>
    <xf numFmtId="168" fontId="3" fillId="2" borderId="0" applyNumberFormat="0" applyFont="0" applyFill="0" applyBorder="0" applyAlignment="0" applyProtection="0">
      <alignment horizontal="right" vertical="top" shrinkToFit="1"/>
    </xf>
    <xf numFmtId="168" fontId="6" fillId="2" borderId="9" applyNumberFormat="0" applyFont="0" applyFill="0" applyBorder="0" applyAlignment="0" applyProtection="0">
      <alignment horizontal="right" vertical="top" shrinkToFit="1"/>
    </xf>
    <xf numFmtId="169" fontId="4" fillId="2" borderId="8" applyNumberFormat="0" applyFont="0" applyFill="0" applyBorder="0" applyAlignment="0" applyProtection="0">
      <alignment horizontal="right" vertical="top" shrinkToFit="1"/>
    </xf>
    <xf numFmtId="169" fontId="4" fillId="2" borderId="10">
      <alignment horizontal="right" vertical="top" shrinkToFit="1"/>
    </xf>
    <xf numFmtId="169" fontId="6" fillId="2" borderId="0" applyNumberFormat="0" applyFont="0" applyFill="0" applyBorder="0" applyAlignment="0" applyProtection="0">
      <alignment horizontal="right" vertical="top" shrinkToFit="1"/>
    </xf>
    <xf numFmtId="169" fontId="6" fillId="2" borderId="11" applyNumberFormat="0" applyFont="0" applyFill="0" applyBorder="0" applyAlignment="0" applyProtection="0">
      <alignment horizontal="right" vertical="top" shrinkToFit="1"/>
    </xf>
    <xf numFmtId="169" fontId="7" fillId="3" borderId="0" applyNumberFormat="0" applyFont="0" applyFill="0" applyBorder="0" applyAlignment="0" applyProtection="0">
      <alignment horizontal="right" vertical="top" shrinkToFit="1"/>
      <protection locked="0"/>
    </xf>
    <xf numFmtId="169" fontId="7" fillId="3" borderId="11" applyNumberFormat="0" applyFont="0" applyFill="0" applyBorder="0" applyAlignment="0" applyProtection="0">
      <alignment horizontal="right" vertical="top" shrinkToFit="1"/>
      <protection locked="0"/>
    </xf>
    <xf numFmtId="169" fontId="6" fillId="3" borderId="0" applyNumberFormat="0" applyFont="0" applyFill="0" applyBorder="0" applyAlignment="0" applyProtection="0">
      <alignment horizontal="right" vertical="top" shrinkToFit="1"/>
      <protection locked="0"/>
    </xf>
    <xf numFmtId="169" fontId="6" fillId="3" borderId="11" applyNumberFormat="0" applyFont="0" applyFill="0" applyBorder="0" applyAlignment="0" applyProtection="0">
      <alignment horizontal="right" vertical="top" shrinkToFit="1"/>
      <protection locked="0"/>
    </xf>
    <xf numFmtId="169" fontId="7" fillId="3" borderId="9" applyNumberFormat="0" applyFont="0" applyFill="0" applyBorder="0" applyAlignment="0" applyProtection="0">
      <alignment horizontal="right" vertical="top" shrinkToFit="1"/>
      <protection locked="0"/>
    </xf>
    <xf numFmtId="169" fontId="7" fillId="3" borderId="12">
      <alignment horizontal="right" vertical="top" shrinkToFit="1"/>
      <protection locked="0"/>
    </xf>
    <xf numFmtId="3" fontId="4" fillId="2" borderId="8" applyNumberFormat="0" applyFont="0" applyFill="0" applyBorder="0" applyAlignment="0" applyProtection="0">
      <alignment horizontal="right" vertical="top" shrinkToFit="1"/>
    </xf>
    <xf numFmtId="3" fontId="4" fillId="2" borderId="10" applyNumberFormat="0" applyFont="0" applyFill="0" applyBorder="0" applyAlignment="0" applyProtection="0">
      <alignment horizontal="right" vertical="top" shrinkToFit="1"/>
    </xf>
    <xf numFmtId="3" fontId="6" fillId="2" borderId="0" applyNumberFormat="0" applyFont="0" applyFill="0" applyBorder="0" applyAlignment="0" applyProtection="0">
      <alignment horizontal="right" vertical="top" shrinkToFit="1"/>
    </xf>
    <xf numFmtId="3" fontId="6" fillId="2" borderId="11" applyNumberFormat="0" applyFont="0" applyFill="0" applyBorder="0" applyAlignment="0" applyProtection="0">
      <alignment horizontal="right" vertical="top" shrinkToFit="1"/>
    </xf>
    <xf numFmtId="3" fontId="7" fillId="2" borderId="0" applyNumberFormat="0" applyFont="0" applyFill="0" applyBorder="0" applyAlignment="0" applyProtection="0">
      <alignment horizontal="right" vertical="top" shrinkToFit="1"/>
    </xf>
    <xf numFmtId="3" fontId="7" fillId="2" borderId="11" applyNumberFormat="0" applyFont="0" applyFill="0" applyBorder="0" applyAlignment="0" applyProtection="0">
      <alignment horizontal="right" vertical="top" shrinkToFit="1"/>
    </xf>
    <xf numFmtId="3" fontId="7" fillId="2" borderId="9" applyNumberFormat="0" applyFont="0" applyFill="0" applyBorder="0" applyAlignment="0" applyProtection="0">
      <alignment horizontal="right" vertical="top" shrinkToFit="1"/>
    </xf>
    <xf numFmtId="3" fontId="7" fillId="2" borderId="12">
      <alignment horizontal="right" vertical="top" shrinkToFit="1"/>
    </xf>
    <xf numFmtId="3" fontId="3" fillId="2" borderId="0" applyNumberFormat="0" applyFont="0" applyFill="0" applyBorder="0" applyAlignment="0" applyProtection="0">
      <alignment horizontal="right" vertical="top" shrinkToFit="1"/>
    </xf>
    <xf numFmtId="3" fontId="3" fillId="2" borderId="11" applyNumberFormat="0" applyFont="0" applyFill="0" applyBorder="0" applyAlignment="0" applyProtection="0">
      <alignment horizontal="right" vertical="top" shrinkToFit="1"/>
    </xf>
    <xf numFmtId="3" fontId="3" fillId="2" borderId="9" applyNumberFormat="0" applyFont="0" applyFill="0" applyBorder="0" applyAlignment="0" applyProtection="0">
      <alignment horizontal="right" vertical="top" shrinkToFit="1"/>
    </xf>
    <xf numFmtId="3" fontId="3" fillId="2" borderId="12" applyNumberFormat="0" applyFont="0" applyFill="0" applyBorder="0" applyAlignment="0" applyProtection="0">
      <alignment horizontal="right" vertical="top" shrinkToFit="1"/>
    </xf>
    <xf numFmtId="8" fontId="6" fillId="2" borderId="0" applyNumberFormat="0" applyFont="0" applyFill="0" applyBorder="0" applyAlignment="0" applyProtection="0">
      <alignment horizontal="right" vertical="top" shrinkToFit="1"/>
    </xf>
    <xf numFmtId="8" fontId="6" fillId="3" borderId="0" applyNumberFormat="0" applyFont="0" applyFill="0" applyBorder="0" applyAlignment="0" applyProtection="0">
      <alignment horizontal="right" vertical="top" shrinkToFit="1"/>
      <protection locked="0"/>
    </xf>
    <xf numFmtId="8" fontId="3" fillId="2" borderId="0" applyNumberFormat="0" applyFont="0" applyFill="0" applyBorder="0" applyAlignment="0" applyProtection="0">
      <alignment horizontal="right" vertical="top" shrinkToFit="1"/>
    </xf>
    <xf numFmtId="8" fontId="4" fillId="2" borderId="9" applyNumberFormat="0" applyFont="0" applyFill="0" applyBorder="0" applyAlignment="0" applyProtection="0">
      <alignment horizontal="right" vertical="top" shrinkToFit="1"/>
    </xf>
    <xf numFmtId="8" fontId="4" fillId="2" borderId="7" applyNumberFormat="0" applyFont="0" applyFill="0" applyBorder="0" applyAlignment="0" applyProtection="0">
      <alignment horizontal="right" vertical="top" shrinkToFit="1"/>
    </xf>
    <xf numFmtId="8" fontId="4" fillId="2" borderId="3" applyNumberFormat="0" applyFont="0" applyFill="0" applyBorder="0" applyAlignment="0" applyProtection="0">
      <alignment horizontal="right" vertical="top" shrinkToFit="1"/>
    </xf>
    <xf numFmtId="164" fontId="3" fillId="2" borderId="3" applyNumberFormat="0" applyFont="0" applyFill="0" applyBorder="0" applyAlignment="0" applyProtection="0">
      <alignment horizontal="center" vertical="top" shrinkToFit="1"/>
    </xf>
    <xf numFmtId="164" fontId="3" fillId="2" borderId="4">
      <alignment horizontal="center" vertical="top" shrinkToFit="1"/>
    </xf>
    <xf numFmtId="6" fontId="3" fillId="2" borderId="3" applyNumberFormat="0" applyFont="0" applyFill="0" applyBorder="0" applyAlignment="0" applyProtection="0">
      <alignment horizontal="right" vertical="top" shrinkToFit="1"/>
    </xf>
    <xf numFmtId="6" fontId="3" fillId="2" borderId="4" applyNumberFormat="0" applyFont="0" applyFill="0" applyBorder="0" applyAlignment="0" applyProtection="0">
      <alignment horizontal="right" vertical="top" shrinkToFit="1"/>
    </xf>
    <xf numFmtId="169" fontId="3" fillId="2" borderId="0" applyNumberFormat="0" applyFont="0" applyFill="0" applyBorder="0" applyAlignment="0" applyProtection="0">
      <alignment horizontal="right" vertical="top" shrinkToFit="1"/>
    </xf>
    <xf numFmtId="169" fontId="4" fillId="2" borderId="9" applyNumberFormat="0" applyFont="0" applyFill="0" applyBorder="0" applyAlignment="0" applyProtection="0">
      <alignment horizontal="right" vertical="top" shrinkToFit="1"/>
    </xf>
    <xf numFmtId="169" fontId="4" fillId="2" borderId="0" applyNumberFormat="0" applyFont="0" applyFill="0" applyBorder="0" applyAlignment="0" applyProtection="0">
      <alignment horizontal="right" vertical="top" shrinkToFit="1"/>
    </xf>
    <xf numFmtId="0" fontId="4" fillId="2" borderId="3" applyNumberFormat="0" applyFont="0" applyFill="0" applyBorder="0" applyAlignment="0" applyProtection="0">
      <alignment horizontal="left" vertical="top" shrinkToFit="1"/>
    </xf>
    <xf numFmtId="0" fontId="4" fillId="4" borderId="0" applyNumberFormat="0" applyFont="0" applyFill="0" applyBorder="0" applyAlignment="0" applyProtection="0">
      <alignment vertical="top" shrinkToFit="1"/>
    </xf>
    <xf numFmtId="0" fontId="7" fillId="4" borderId="0" applyNumberFormat="0" applyFont="0" applyFill="0" applyBorder="0" applyAlignment="0" applyProtection="0">
      <alignment vertical="top" shrinkToFit="1"/>
    </xf>
    <xf numFmtId="0" fontId="4" fillId="4" borderId="0" applyNumberFormat="0" applyFont="0" applyFill="0" applyBorder="0" applyAlignment="0" applyProtection="0">
      <alignment horizontal="right" vertical="top" shrinkToFit="1"/>
    </xf>
    <xf numFmtId="0" fontId="3" fillId="4" borderId="0" applyNumberFormat="0" applyFont="0" applyFill="0" applyBorder="0" applyAlignment="0" applyProtection="0">
      <alignment vertical="top" shrinkToFit="1"/>
    </xf>
    <xf numFmtId="0" fontId="7" fillId="2" borderId="3" applyNumberFormat="0" applyFont="0" applyFill="0" applyBorder="0" applyAlignment="0" applyProtection="0">
      <alignment vertical="top" shrinkToFit="1"/>
    </xf>
    <xf numFmtId="0" fontId="4" fillId="2" borderId="3" applyNumberFormat="0" applyFont="0" applyFill="0" applyBorder="0" applyAlignment="0" applyProtection="0">
      <alignment horizontal="right" vertical="top" shrinkToFit="1"/>
    </xf>
    <xf numFmtId="164" fontId="4" fillId="2" borderId="6" applyNumberFormat="0" applyFont="0" applyFill="0" applyBorder="0" applyAlignment="0" applyProtection="0">
      <alignment horizontal="right" vertical="top" shrinkToFit="1"/>
    </xf>
    <xf numFmtId="164" fontId="4" fillId="2" borderId="7">
      <alignment horizontal="right" vertical="top" shrinkToFit="1"/>
    </xf>
    <xf numFmtId="167" fontId="4" fillId="2" borderId="6" applyNumberFormat="0" applyFont="0" applyFill="0" applyBorder="0" applyAlignment="0" applyProtection="0">
      <alignment horizontal="right" vertical="top" shrinkToFit="1"/>
    </xf>
    <xf numFmtId="166" fontId="4" fillId="2" borderId="10">
      <alignment horizontal="right" vertical="top" shrinkToFit="1"/>
    </xf>
    <xf numFmtId="166" fontId="6" fillId="2" borderId="0" applyNumberFormat="0" applyFont="0" applyFill="0" applyBorder="0" applyAlignment="0" applyProtection="0">
      <alignment horizontal="right" vertical="top" shrinkToFit="1"/>
    </xf>
    <xf numFmtId="166" fontId="6" fillId="2" borderId="11" applyNumberFormat="0" applyFont="0" applyFill="0" applyBorder="0" applyAlignment="0" applyProtection="0">
      <alignment horizontal="right" vertical="top" shrinkToFit="1"/>
    </xf>
    <xf numFmtId="166" fontId="3" fillId="3" borderId="11" applyNumberFormat="0" applyFont="0" applyFill="0" applyBorder="0" applyAlignment="0" applyProtection="0">
      <alignment horizontal="right" vertical="top" shrinkToFit="1"/>
      <protection locked="0"/>
    </xf>
    <xf numFmtId="166" fontId="3" fillId="2" borderId="0" applyNumberFormat="0" applyFont="0" applyFill="0" applyBorder="0" applyAlignment="0" applyProtection="0">
      <alignment horizontal="right" vertical="top" shrinkToFit="1"/>
    </xf>
    <xf numFmtId="166" fontId="3" fillId="2" borderId="11">
      <alignment horizontal="right" vertical="top" shrinkToFit="1"/>
    </xf>
    <xf numFmtId="166" fontId="6" fillId="3" borderId="0" applyNumberFormat="0" applyFont="0" applyFill="0" applyBorder="0" applyAlignment="0" applyProtection="0">
      <alignment horizontal="right" vertical="top" shrinkToFit="1"/>
      <protection locked="0"/>
    </xf>
    <xf numFmtId="166" fontId="6" fillId="3" borderId="11" applyNumberFormat="0" applyFont="0" applyFill="0" applyBorder="0" applyAlignment="0" applyProtection="0">
      <alignment horizontal="right" vertical="top" shrinkToFit="1"/>
      <protection locked="0"/>
    </xf>
    <xf numFmtId="166" fontId="3" fillId="3" borderId="9" applyNumberFormat="0" applyFont="0" applyFill="0" applyBorder="0" applyAlignment="0" applyProtection="0">
      <alignment horizontal="right" vertical="top" shrinkToFit="1"/>
      <protection locked="0"/>
    </xf>
    <xf numFmtId="166" fontId="3" fillId="3" borderId="12">
      <alignment horizontal="right" vertical="top" shrinkToFit="1"/>
      <protection locked="0"/>
    </xf>
    <xf numFmtId="6" fontId="6" fillId="3" borderId="0" applyNumberFormat="0" applyFont="0" applyFill="0" applyBorder="0" applyAlignment="0" applyProtection="0">
      <alignment horizontal="right" vertical="top" shrinkToFit="1"/>
      <protection locked="0"/>
    </xf>
    <xf numFmtId="168" fontId="6" fillId="3" borderId="0" applyNumberFormat="0" applyFont="0" applyFill="0" applyBorder="0" applyAlignment="0" applyProtection="0">
      <alignment horizontal="right" vertical="top" shrinkToFit="1"/>
      <protection locked="0"/>
    </xf>
    <xf numFmtId="0" fontId="4" fillId="2" borderId="2" applyNumberFormat="0" applyFont="0" applyFill="0" applyBorder="0" applyAlignment="0" applyProtection="0">
      <alignment vertical="top" shrinkToFit="1"/>
    </xf>
    <xf numFmtId="8" fontId="4" fillId="2" borderId="10">
      <alignment horizontal="right" vertical="top" shrinkToFit="1"/>
    </xf>
    <xf numFmtId="8" fontId="6" fillId="2" borderId="11" applyNumberFormat="0" applyFont="0" applyFill="0" applyBorder="0" applyAlignment="0" applyProtection="0">
      <alignment horizontal="right" vertical="top" shrinkToFit="1"/>
    </xf>
    <xf numFmtId="8" fontId="4" fillId="2" borderId="11" applyNumberFormat="0" applyFont="0" applyFill="0" applyBorder="0" applyAlignment="0" applyProtection="0">
      <alignment horizontal="right" vertical="top" shrinkToFit="1"/>
    </xf>
    <xf numFmtId="8" fontId="6" fillId="2" borderId="12">
      <alignment horizontal="right" vertical="top" shrinkToFit="1"/>
    </xf>
    <xf numFmtId="170" fontId="4" fillId="2" borderId="8" applyNumberFormat="0" applyFont="0" applyFill="0" applyBorder="0" applyAlignment="0" applyProtection="0">
      <alignment horizontal="right" vertical="top" shrinkToFit="1"/>
    </xf>
    <xf numFmtId="170" fontId="4" fillId="2" borderId="5">
      <alignment horizontal="right" vertical="top" shrinkToFit="1"/>
    </xf>
    <xf numFmtId="170" fontId="6" fillId="2" borderId="0" applyNumberFormat="0" applyFont="0" applyFill="0" applyBorder="0" applyAlignment="0" applyProtection="0">
      <alignment horizontal="right" vertical="top" shrinkToFit="1"/>
    </xf>
    <xf numFmtId="170" fontId="4" fillId="2" borderId="6" applyNumberFormat="0" applyFont="0" applyFill="0" applyBorder="0" applyAlignment="0" applyProtection="0">
      <alignment horizontal="right" vertical="top" shrinkToFit="1"/>
    </xf>
    <xf numFmtId="170" fontId="4" fillId="2" borderId="0" applyNumberFormat="0" applyFont="0" applyFill="0" applyBorder="0" applyAlignment="0" applyProtection="0">
      <alignment horizontal="right" vertical="top" shrinkToFit="1"/>
    </xf>
    <xf numFmtId="170" fontId="4" fillId="2" borderId="3" applyNumberFormat="0" applyFont="0" applyFill="0" applyBorder="0" applyAlignment="0" applyProtection="0">
      <alignment horizontal="right" vertical="top" shrinkToFit="1"/>
    </xf>
    <xf numFmtId="170" fontId="4" fillId="2" borderId="1">
      <alignment horizontal="right" vertical="top" shrinkToFit="1"/>
    </xf>
    <xf numFmtId="168" fontId="4" fillId="2" borderId="3" applyNumberFormat="0" applyFont="0" applyFill="0" applyBorder="0" applyAlignment="0" applyProtection="0">
      <alignment horizontal="right" vertical="top" shrinkToFit="1"/>
    </xf>
    <xf numFmtId="168" fontId="4" fillId="2" borderId="1" applyNumberFormat="0" applyFont="0" applyFill="0" applyBorder="0" applyAlignment="0" applyProtection="0">
      <alignment horizontal="right" vertical="top" shrinkToFit="1"/>
    </xf>
    <xf numFmtId="3" fontId="4" fillId="2" borderId="0" applyNumberFormat="0" applyFont="0" applyFill="0" applyBorder="0" applyAlignment="0" applyProtection="0">
      <alignment horizontal="right" vertical="top" shrinkToFit="1"/>
    </xf>
    <xf numFmtId="3" fontId="4" fillId="2" borderId="11" applyNumberFormat="0" applyFont="0" applyFill="0" applyBorder="0" applyAlignment="0" applyProtection="0">
      <alignment horizontal="right" vertical="top" shrinkToFit="1"/>
    </xf>
    <xf numFmtId="6" fontId="4" fillId="2" borderId="10" applyNumberFormat="0" applyFont="0" applyFill="0" applyBorder="0" applyAlignment="0" applyProtection="0">
      <alignment horizontal="right" vertical="top" shrinkToFit="1"/>
    </xf>
    <xf numFmtId="6" fontId="4" fillId="2" borderId="11" applyNumberFormat="0" applyFont="0" applyFill="0" applyBorder="0" applyAlignment="0" applyProtection="0">
      <alignment horizontal="right" vertical="top" shrinkToFit="1"/>
    </xf>
    <xf numFmtId="6" fontId="4" fillId="2" borderId="12">
      <alignment horizontal="right" vertical="top" shrinkToFit="1"/>
    </xf>
    <xf numFmtId="6" fontId="4" fillId="2" borderId="4">
      <alignment horizontal="right" vertical="top" shrinkToFit="1"/>
    </xf>
    <xf numFmtId="6" fontId="4" fillId="2" borderId="3" applyNumberFormat="0" applyFont="0" applyFill="0" applyBorder="0" applyAlignment="0" applyProtection="0">
      <alignment horizontal="right" vertical="top" shrinkToFit="1"/>
    </xf>
    <xf numFmtId="168" fontId="4" fillId="2" borderId="11" applyNumberFormat="0" applyFont="0" applyFill="0" applyBorder="0" applyAlignment="0" applyProtection="0">
      <alignment horizontal="right" vertical="top" shrinkToFit="1"/>
    </xf>
    <xf numFmtId="168" fontId="6" fillId="2" borderId="12">
      <alignment horizontal="right" vertical="top" shrinkToFit="1"/>
    </xf>
    <xf numFmtId="169" fontId="4" fillId="2" borderId="3" applyNumberFormat="0" applyFont="0" applyFill="0" applyBorder="0" applyAlignment="0" applyProtection="0">
      <alignment horizontal="right" vertical="top" shrinkToFit="1"/>
    </xf>
    <xf numFmtId="169" fontId="4" fillId="2" borderId="1">
      <alignment horizontal="right" vertical="top" shrinkToFit="1"/>
    </xf>
    <xf numFmtId="0" fontId="4" fillId="2" borderId="13" applyNumberFormat="0" applyFont="0" applyFill="0" applyBorder="0" applyAlignment="0" applyProtection="0">
      <alignment horizontal="left" vertical="top" shrinkToFit="1"/>
    </xf>
    <xf numFmtId="0" fontId="4" fillId="2" borderId="14" applyNumberFormat="0" applyFont="0" applyFill="0" applyBorder="0" applyAlignment="0" applyProtection="0">
      <alignment horizontal="left" vertical="top" shrinkToFit="1"/>
    </xf>
    <xf numFmtId="0" fontId="3" fillId="2" borderId="14" applyNumberFormat="0" applyFont="0" applyFill="0" applyBorder="0" applyAlignment="0" applyProtection="0">
      <alignment vertical="top" shrinkToFit="1"/>
    </xf>
    <xf numFmtId="0" fontId="3" fillId="3" borderId="14" applyNumberFormat="0" applyFont="0" applyFill="0" applyBorder="0" applyAlignment="0" applyProtection="0">
      <alignment vertical="top" shrinkToFit="1"/>
      <protection locked="0"/>
    </xf>
    <xf numFmtId="0" fontId="4" fillId="3" borderId="14" applyNumberFormat="0" applyFont="0" applyFill="0" applyBorder="0" applyAlignment="0" applyProtection="0">
      <alignment vertical="top" shrinkToFit="1"/>
      <protection locked="0"/>
    </xf>
    <xf numFmtId="0" fontId="6" fillId="3" borderId="14" applyNumberFormat="0" applyFont="0" applyFill="0" applyBorder="0" applyAlignment="0" applyProtection="0">
      <alignment vertical="top" shrinkToFit="1"/>
      <protection locked="0"/>
    </xf>
    <xf numFmtId="0" fontId="7" fillId="3" borderId="14" applyNumberFormat="0" applyFont="0" applyFill="0" applyBorder="0" applyAlignment="0" applyProtection="0">
      <alignment vertical="top" shrinkToFit="1"/>
      <protection locked="0"/>
    </xf>
    <xf numFmtId="169" fontId="4" fillId="2" borderId="1">
      <alignment horizontal="right" vertical="top" shrinkToFit="1"/>
    </xf>
    <xf numFmtId="0" fontId="4" fillId="2" borderId="13" applyNumberFormat="0" applyFont="0" applyFill="0" applyBorder="0" applyAlignment="0" applyProtection="0">
      <alignment horizontal="left" vertical="top" shrinkToFit="1"/>
    </xf>
    <xf numFmtId="0" fontId="4" fillId="2" borderId="14" applyNumberFormat="0" applyFont="0" applyFill="0" applyBorder="0" applyAlignment="0" applyProtection="0">
      <alignment horizontal="left" vertical="top" shrinkToFit="1"/>
    </xf>
    <xf numFmtId="0" fontId="3" fillId="2" borderId="14" applyNumberFormat="0" applyFont="0" applyFill="0" applyBorder="0" applyAlignment="0" applyProtection="0">
      <alignment vertical="top" shrinkToFit="1"/>
    </xf>
    <xf numFmtId="0" fontId="3" fillId="3" borderId="14" applyNumberFormat="0" applyFont="0" applyFill="0" applyBorder="0" applyAlignment="0" applyProtection="0">
      <alignment vertical="top" shrinkToFit="1"/>
      <protection locked="0"/>
    </xf>
    <xf numFmtId="0" fontId="4" fillId="3" borderId="14" applyNumberFormat="0" applyFont="0" applyFill="0" applyBorder="0" applyAlignment="0" applyProtection="0">
      <alignment vertical="top" shrinkToFit="1"/>
      <protection locked="0"/>
    </xf>
    <xf numFmtId="0" fontId="6" fillId="3" borderId="14" applyNumberFormat="0" applyFont="0" applyFill="0" applyBorder="0" applyAlignment="0" applyProtection="0">
      <alignment vertical="top" shrinkToFit="1"/>
      <protection locked="0"/>
    </xf>
    <xf numFmtId="0" fontId="7" fillId="3" borderId="14" applyNumberFormat="0" applyFont="0" applyFill="0" applyBorder="0" applyAlignment="0" applyProtection="0">
      <alignment vertical="top" shrinkToFit="1"/>
      <protection locked="0"/>
    </xf>
    <xf numFmtId="171" fontId="4" fillId="5" borderId="8" applyNumberFormat="0" applyFont="0" applyFill="0" applyBorder="0" applyAlignment="0" applyProtection="0">
      <alignment horizontal="right" vertical="top"/>
    </xf>
    <xf numFmtId="171" fontId="4" fillId="5" borderId="5" applyNumberFormat="0" applyFont="0" applyFill="0" applyBorder="0" applyAlignment="0" applyProtection="0">
      <alignment horizontal="right" vertical="top"/>
    </xf>
    <xf numFmtId="171" fontId="4" fillId="5" borderId="3" applyNumberFormat="0" applyFont="0" applyFill="0" applyBorder="0" applyAlignment="0" applyProtection="0">
      <alignment horizontal="right" vertical="top"/>
    </xf>
    <xf numFmtId="171" fontId="4" fillId="5" borderId="1" applyNumberFormat="0" applyFont="0" applyFill="0" applyBorder="0" applyAlignment="0" applyProtection="0">
      <alignment horizontal="right" vertical="top"/>
    </xf>
    <xf numFmtId="0" fontId="1" fillId="0" borderId="18">
      <alignment vertical="center"/>
    </xf>
  </cellStyleXfs>
  <cellXfs count="218">
    <xf numFmtId="0" fontId="0" fillId="0" borderId="0" xfId="0">
      <alignment vertical="center"/>
    </xf>
    <xf numFmtId="0" fontId="3" fillId="2" borderId="0" xfId="3">
      <alignment vertical="top" shrinkToFit="1"/>
    </xf>
    <xf numFmtId="0" fontId="5" fillId="2" borderId="0" xfId="7">
      <alignment vertical="top" shrinkToFit="1"/>
    </xf>
    <xf numFmtId="0" fontId="4" fillId="2" borderId="0" xfId="43">
      <alignment vertical="top" shrinkToFit="1"/>
    </xf>
    <xf numFmtId="0" fontId="4" fillId="2" borderId="1" xfId="5">
      <alignment vertical="top" shrinkToFit="1"/>
    </xf>
    <xf numFmtId="0" fontId="4" fillId="3" borderId="1" xfId="6">
      <alignment horizontal="left" vertical="top" shrinkToFit="1"/>
      <protection locked="0"/>
    </xf>
    <xf numFmtId="0" fontId="4" fillId="2" borderId="2" xfId="8">
      <alignment horizontal="center" vertical="top" shrinkToFit="1"/>
    </xf>
    <xf numFmtId="0" fontId="4" fillId="2" borderId="3" xfId="9">
      <alignment horizontal="center" vertical="top" shrinkToFit="1"/>
    </xf>
    <xf numFmtId="0" fontId="4" fillId="2" borderId="4" xfId="10">
      <alignment horizontal="center" vertical="top" shrinkToFit="1"/>
    </xf>
    <xf numFmtId="164" fontId="4" fillId="3" borderId="3" xfId="11">
      <alignment horizontal="right" vertical="top" shrinkToFit="1"/>
      <protection locked="0"/>
    </xf>
    <xf numFmtId="164" fontId="4" fillId="3" borderId="4" xfId="12">
      <alignment horizontal="right" vertical="top" shrinkToFit="1"/>
      <protection locked="0"/>
    </xf>
    <xf numFmtId="0" fontId="4" fillId="2" borderId="5" xfId="13">
      <alignment vertical="top" shrinkToFit="1"/>
    </xf>
    <xf numFmtId="6" fontId="4" fillId="2" borderId="5" xfId="14">
      <alignment horizontal="right" vertical="top" shrinkToFit="1"/>
    </xf>
    <xf numFmtId="0" fontId="6" fillId="2" borderId="6" xfId="15">
      <alignment vertical="top" shrinkToFit="1"/>
    </xf>
    <xf numFmtId="6" fontId="4" fillId="3" borderId="6" xfId="16">
      <alignment horizontal="right" vertical="top" shrinkToFit="1"/>
      <protection locked="0"/>
    </xf>
    <xf numFmtId="0" fontId="6" fillId="2" borderId="7" xfId="17">
      <alignment vertical="top" shrinkToFit="1"/>
    </xf>
    <xf numFmtId="6" fontId="4" fillId="3" borderId="7" xfId="18">
      <alignment horizontal="right" vertical="top" shrinkToFit="1"/>
      <protection locked="0"/>
    </xf>
    <xf numFmtId="0" fontId="4" fillId="2" borderId="1" xfId="19">
      <alignment horizontal="center" vertical="top" shrinkToFit="1"/>
    </xf>
    <xf numFmtId="6" fontId="4" fillId="2" borderId="8" xfId="20">
      <alignment horizontal="right" vertical="top" shrinkToFit="1"/>
    </xf>
    <xf numFmtId="6" fontId="3" fillId="3" borderId="0" xfId="21">
      <alignment horizontal="right" vertical="top" shrinkToFit="1"/>
      <protection locked="0"/>
    </xf>
    <xf numFmtId="6" fontId="4" fillId="2" borderId="6" xfId="22">
      <alignment horizontal="right" vertical="top" shrinkToFit="1"/>
    </xf>
    <xf numFmtId="0" fontId="4" fillId="2" borderId="7" xfId="23">
      <alignment vertical="top" shrinkToFit="1"/>
    </xf>
    <xf numFmtId="6" fontId="4" fillId="2" borderId="9" xfId="24">
      <alignment horizontal="right" vertical="top" shrinkToFit="1"/>
    </xf>
    <xf numFmtId="6" fontId="4" fillId="2" borderId="7" xfId="25">
      <alignment horizontal="right" vertical="top" shrinkToFit="1"/>
    </xf>
    <xf numFmtId="165" fontId="4" fillId="2" borderId="5" xfId="26">
      <alignment horizontal="right" vertical="top" shrinkToFit="1"/>
    </xf>
    <xf numFmtId="167" fontId="4" fillId="2" borderId="5" xfId="32">
      <alignment horizontal="right" vertical="top" shrinkToFit="1"/>
    </xf>
    <xf numFmtId="165" fontId="4" fillId="3" borderId="6" xfId="27">
      <alignment horizontal="right" vertical="top" shrinkToFit="1"/>
      <protection locked="0"/>
    </xf>
    <xf numFmtId="167" fontId="4" fillId="3" borderId="6" xfId="33">
      <alignment horizontal="right" vertical="top" shrinkToFit="1"/>
      <protection locked="0"/>
    </xf>
    <xf numFmtId="167" fontId="4" fillId="3" borderId="7" xfId="34">
      <alignment horizontal="right" vertical="top" shrinkToFit="1"/>
      <protection locked="0"/>
    </xf>
    <xf numFmtId="0" fontId="4" fillId="2" borderId="6" xfId="28">
      <alignment vertical="top" shrinkToFit="1"/>
    </xf>
    <xf numFmtId="166" fontId="4" fillId="2" borderId="6" xfId="29">
      <alignment horizontal="right" vertical="top" shrinkToFit="1"/>
    </xf>
    <xf numFmtId="166" fontId="4" fillId="3" borderId="6" xfId="30">
      <alignment horizontal="right" vertical="top" shrinkToFit="1"/>
      <protection locked="0"/>
    </xf>
    <xf numFmtId="166" fontId="4" fillId="3" borderId="7" xfId="31">
      <alignment horizontal="right" vertical="top" shrinkToFit="1"/>
      <protection locked="0"/>
    </xf>
    <xf numFmtId="164" fontId="4" fillId="2" borderId="5" xfId="35">
      <alignment horizontal="right" vertical="top" shrinkToFit="1"/>
    </xf>
    <xf numFmtId="164" fontId="4" fillId="3" borderId="6" xfId="36">
      <alignment horizontal="right" vertical="top" shrinkToFit="1"/>
      <protection locked="0"/>
    </xf>
    <xf numFmtId="4" fontId="4" fillId="2" borderId="6" xfId="37">
      <alignment horizontal="right" vertical="top" shrinkToFit="1"/>
    </xf>
    <xf numFmtId="4" fontId="4" fillId="3" borderId="6" xfId="38">
      <alignment horizontal="right" vertical="top" shrinkToFit="1"/>
      <protection locked="0"/>
    </xf>
    <xf numFmtId="4" fontId="4" fillId="3" borderId="7" xfId="39">
      <alignment horizontal="right" vertical="top" shrinkToFit="1"/>
      <protection locked="0"/>
    </xf>
    <xf numFmtId="166" fontId="4" fillId="2" borderId="5" xfId="41">
      <alignment horizontal="right" vertical="top" shrinkToFit="1"/>
    </xf>
    <xf numFmtId="165" fontId="4" fillId="2" borderId="7" xfId="40">
      <alignment horizontal="right" vertical="top" shrinkToFit="1"/>
    </xf>
    <xf numFmtId="166" fontId="4" fillId="2" borderId="7" xfId="42">
      <alignment horizontal="right" vertical="top" shrinkToFit="1"/>
    </xf>
    <xf numFmtId="166" fontId="4" fillId="2" borderId="8" xfId="44">
      <alignment horizontal="right" vertical="top" shrinkToFit="1"/>
    </xf>
    <xf numFmtId="166" fontId="3" fillId="3" borderId="0" xfId="45">
      <alignment horizontal="right" vertical="top" shrinkToFit="1"/>
      <protection locked="0"/>
    </xf>
    <xf numFmtId="0" fontId="4" fillId="2" borderId="3" xfId="46">
      <alignment vertical="top" shrinkToFit="1"/>
    </xf>
    <xf numFmtId="6" fontId="4" fillId="2" borderId="0" xfId="47">
      <alignment horizontal="right" vertical="top" shrinkToFit="1"/>
    </xf>
    <xf numFmtId="165" fontId="4" fillId="2" borderId="6" xfId="48">
      <alignment horizontal="right" vertical="top" shrinkToFit="1"/>
    </xf>
    <xf numFmtId="8" fontId="4" fillId="3" borderId="1" xfId="49">
      <alignment horizontal="right" vertical="top" shrinkToFit="1"/>
      <protection locked="0"/>
    </xf>
    <xf numFmtId="6" fontId="4" fillId="3" borderId="3" xfId="50">
      <alignment horizontal="right" vertical="top" shrinkToFit="1"/>
      <protection locked="0"/>
    </xf>
    <xf numFmtId="6" fontId="4" fillId="2" borderId="1" xfId="51">
      <alignment horizontal="right" vertical="top" shrinkToFit="1"/>
    </xf>
    <xf numFmtId="167" fontId="4" fillId="3" borderId="3" xfId="52">
      <alignment horizontal="right" vertical="top" shrinkToFit="1"/>
      <protection locked="0"/>
    </xf>
    <xf numFmtId="167" fontId="4" fillId="3" borderId="4" xfId="53">
      <alignment horizontal="right" vertical="top" shrinkToFit="1"/>
      <protection locked="0"/>
    </xf>
    <xf numFmtId="8" fontId="4" fillId="3" borderId="3" xfId="54">
      <alignment horizontal="right" vertical="top" shrinkToFit="1"/>
      <protection locked="0"/>
    </xf>
    <xf numFmtId="8" fontId="4" fillId="2" borderId="1" xfId="55">
      <alignment horizontal="right" vertical="top" shrinkToFit="1"/>
    </xf>
    <xf numFmtId="165" fontId="4" fillId="3" borderId="1" xfId="56">
      <alignment horizontal="right" vertical="top" shrinkToFit="1"/>
      <protection locked="0"/>
    </xf>
    <xf numFmtId="166" fontId="4" fillId="3" borderId="1" xfId="57">
      <alignment horizontal="right" vertical="top" shrinkToFit="1"/>
      <protection locked="0"/>
    </xf>
    <xf numFmtId="165" fontId="4" fillId="3" borderId="7" xfId="58">
      <alignment horizontal="right" vertical="top" shrinkToFit="1"/>
      <protection locked="0"/>
    </xf>
    <xf numFmtId="8" fontId="4" fillId="2" borderId="8" xfId="59">
      <alignment horizontal="right" vertical="top" shrinkToFit="1"/>
    </xf>
    <xf numFmtId="8" fontId="4" fillId="2" borderId="5" xfId="60">
      <alignment horizontal="right" vertical="top" shrinkToFit="1"/>
    </xf>
    <xf numFmtId="8" fontId="3" fillId="3" borderId="0" xfId="61">
      <alignment horizontal="right" vertical="top" shrinkToFit="1"/>
      <protection locked="0"/>
    </xf>
    <xf numFmtId="8" fontId="4" fillId="2" borderId="6" xfId="62">
      <alignment horizontal="right" vertical="top" shrinkToFit="1"/>
    </xf>
    <xf numFmtId="8" fontId="4" fillId="2" borderId="0" xfId="63">
      <alignment horizontal="right" vertical="top" shrinkToFit="1"/>
    </xf>
    <xf numFmtId="168" fontId="4" fillId="2" borderId="0" xfId="64">
      <alignment horizontal="right" vertical="top" shrinkToFit="1"/>
    </xf>
    <xf numFmtId="168" fontId="4" fillId="2" borderId="6" xfId="65">
      <alignment horizontal="right" vertical="top" shrinkToFit="1"/>
    </xf>
    <xf numFmtId="168" fontId="3" fillId="3" borderId="0" xfId="66">
      <alignment horizontal="right" vertical="top" shrinkToFit="1"/>
      <protection locked="0"/>
    </xf>
    <xf numFmtId="168" fontId="4" fillId="2" borderId="9" xfId="67">
      <alignment horizontal="right" vertical="top" shrinkToFit="1"/>
    </xf>
    <xf numFmtId="168" fontId="4" fillId="2" borderId="7" xfId="68">
      <alignment horizontal="right" vertical="top" shrinkToFit="1"/>
    </xf>
    <xf numFmtId="169" fontId="4" fillId="2" borderId="5" xfId="70">
      <alignment horizontal="right" vertical="top" shrinkToFit="1"/>
    </xf>
    <xf numFmtId="4" fontId="4" fillId="2" borderId="5" xfId="73">
      <alignment horizontal="right" vertical="top" shrinkToFit="1"/>
    </xf>
    <xf numFmtId="169" fontId="4" fillId="2" borderId="6" xfId="71">
      <alignment horizontal="right" vertical="top" shrinkToFit="1"/>
    </xf>
    <xf numFmtId="0" fontId="7" fillId="2" borderId="6" xfId="69">
      <alignment vertical="top" shrinkToFit="1"/>
    </xf>
    <xf numFmtId="169" fontId="4" fillId="2" borderId="7" xfId="72">
      <alignment horizontal="right" vertical="top" shrinkToFit="1"/>
    </xf>
    <xf numFmtId="4" fontId="4" fillId="2" borderId="7" xfId="74">
      <alignment horizontal="right" vertical="top" shrinkToFit="1"/>
    </xf>
    <xf numFmtId="6" fontId="6" fillId="2" borderId="0" xfId="75">
      <alignment horizontal="right" vertical="top" shrinkToFit="1"/>
    </xf>
    <xf numFmtId="6" fontId="7" fillId="2" borderId="0" xfId="76">
      <alignment horizontal="right" vertical="top" shrinkToFit="1"/>
    </xf>
    <xf numFmtId="6" fontId="3" fillId="2" borderId="0" xfId="77">
      <alignment horizontal="right" vertical="top" shrinkToFit="1"/>
    </xf>
    <xf numFmtId="6" fontId="6" fillId="2" borderId="9" xfId="78">
      <alignment horizontal="right" vertical="top" shrinkToFit="1"/>
    </xf>
    <xf numFmtId="164" fontId="4" fillId="2" borderId="3" xfId="79">
      <alignment horizontal="center" vertical="top" shrinkToFit="1"/>
    </xf>
    <xf numFmtId="164" fontId="4" fillId="2" borderId="4" xfId="80">
      <alignment horizontal="center" vertical="top" shrinkToFit="1"/>
    </xf>
    <xf numFmtId="168" fontId="4" fillId="2" borderId="8" xfId="81">
      <alignment horizontal="right" vertical="top" shrinkToFit="1"/>
    </xf>
    <xf numFmtId="168" fontId="4" fillId="2" borderId="10" xfId="82">
      <alignment horizontal="right" vertical="top" shrinkToFit="1"/>
    </xf>
    <xf numFmtId="168" fontId="6" fillId="2" borderId="0" xfId="83">
      <alignment horizontal="right" vertical="top" shrinkToFit="1"/>
    </xf>
    <xf numFmtId="168" fontId="6" fillId="2" borderId="11" xfId="84">
      <alignment horizontal="right" vertical="top" shrinkToFit="1"/>
    </xf>
    <xf numFmtId="168" fontId="7" fillId="2" borderId="0" xfId="85">
      <alignment horizontal="right" vertical="top" shrinkToFit="1"/>
    </xf>
    <xf numFmtId="168" fontId="7" fillId="2" borderId="11" xfId="86">
      <alignment horizontal="right" vertical="top" shrinkToFit="1"/>
    </xf>
    <xf numFmtId="0" fontId="7" fillId="2" borderId="7" xfId="87">
      <alignment vertical="top" shrinkToFit="1"/>
    </xf>
    <xf numFmtId="168" fontId="7" fillId="2" borderId="9" xfId="88">
      <alignment horizontal="right" vertical="top" shrinkToFit="1"/>
    </xf>
    <xf numFmtId="168" fontId="7" fillId="2" borderId="12" xfId="89">
      <alignment horizontal="right" vertical="top" shrinkToFit="1"/>
    </xf>
    <xf numFmtId="168" fontId="4" fillId="2" borderId="5" xfId="90">
      <alignment horizontal="right" vertical="top" shrinkToFit="1"/>
    </xf>
    <xf numFmtId="168" fontId="3" fillId="2" borderId="0" xfId="91">
      <alignment horizontal="right" vertical="top" shrinkToFit="1"/>
    </xf>
    <xf numFmtId="168" fontId="6" fillId="2" borderId="9" xfId="92">
      <alignment horizontal="right" vertical="top" shrinkToFit="1"/>
    </xf>
    <xf numFmtId="169" fontId="4" fillId="2" borderId="8" xfId="93">
      <alignment horizontal="right" vertical="top" shrinkToFit="1"/>
    </xf>
    <xf numFmtId="169" fontId="4" fillId="2" borderId="10" xfId="94">
      <alignment horizontal="right" vertical="top" shrinkToFit="1"/>
    </xf>
    <xf numFmtId="169" fontId="6" fillId="2" borderId="0" xfId="95">
      <alignment horizontal="right" vertical="top" shrinkToFit="1"/>
    </xf>
    <xf numFmtId="169" fontId="6" fillId="2" borderId="11" xfId="96">
      <alignment horizontal="right" vertical="top" shrinkToFit="1"/>
    </xf>
    <xf numFmtId="169" fontId="7" fillId="3" borderId="0" xfId="97">
      <alignment horizontal="right" vertical="top" shrinkToFit="1"/>
      <protection locked="0"/>
    </xf>
    <xf numFmtId="169" fontId="7" fillId="3" borderId="11" xfId="98">
      <alignment horizontal="right" vertical="top" shrinkToFit="1"/>
      <protection locked="0"/>
    </xf>
    <xf numFmtId="169" fontId="6" fillId="3" borderId="0" xfId="99">
      <alignment horizontal="right" vertical="top" shrinkToFit="1"/>
      <protection locked="0"/>
    </xf>
    <xf numFmtId="169" fontId="6" fillId="3" borderId="11" xfId="100">
      <alignment horizontal="right" vertical="top" shrinkToFit="1"/>
      <protection locked="0"/>
    </xf>
    <xf numFmtId="169" fontId="7" fillId="3" borderId="9" xfId="101">
      <alignment horizontal="right" vertical="top" shrinkToFit="1"/>
      <protection locked="0"/>
    </xf>
    <xf numFmtId="169" fontId="7" fillId="3" borderId="12" xfId="102">
      <alignment horizontal="right" vertical="top" shrinkToFit="1"/>
      <protection locked="0"/>
    </xf>
    <xf numFmtId="3" fontId="4" fillId="2" borderId="8" xfId="103">
      <alignment horizontal="right" vertical="top" shrinkToFit="1"/>
    </xf>
    <xf numFmtId="3" fontId="4" fillId="2" borderId="10" xfId="104">
      <alignment horizontal="right" vertical="top" shrinkToFit="1"/>
    </xf>
    <xf numFmtId="3" fontId="6" fillId="2" borderId="0" xfId="105">
      <alignment horizontal="right" vertical="top" shrinkToFit="1"/>
    </xf>
    <xf numFmtId="3" fontId="6" fillId="2" borderId="11" xfId="106">
      <alignment horizontal="right" vertical="top" shrinkToFit="1"/>
    </xf>
    <xf numFmtId="3" fontId="7" fillId="2" borderId="0" xfId="107">
      <alignment horizontal="right" vertical="top" shrinkToFit="1"/>
    </xf>
    <xf numFmtId="3" fontId="7" fillId="2" borderId="11" xfId="108">
      <alignment horizontal="right" vertical="top" shrinkToFit="1"/>
    </xf>
    <xf numFmtId="3" fontId="7" fillId="2" borderId="9" xfId="109">
      <alignment horizontal="right" vertical="top" shrinkToFit="1"/>
    </xf>
    <xf numFmtId="3" fontId="7" fillId="2" borderId="12" xfId="110">
      <alignment horizontal="right" vertical="top" shrinkToFit="1"/>
    </xf>
    <xf numFmtId="3" fontId="3" fillId="2" borderId="0" xfId="111">
      <alignment horizontal="right" vertical="top" shrinkToFit="1"/>
    </xf>
    <xf numFmtId="3" fontId="3" fillId="2" borderId="11" xfId="112">
      <alignment horizontal="right" vertical="top" shrinkToFit="1"/>
    </xf>
    <xf numFmtId="3" fontId="3" fillId="2" borderId="9" xfId="113">
      <alignment horizontal="right" vertical="top" shrinkToFit="1"/>
    </xf>
    <xf numFmtId="3" fontId="3" fillId="2" borderId="12" xfId="114">
      <alignment horizontal="right" vertical="top" shrinkToFit="1"/>
    </xf>
    <xf numFmtId="8" fontId="6" fillId="2" borderId="0" xfId="115">
      <alignment horizontal="right" vertical="top" shrinkToFit="1"/>
    </xf>
    <xf numFmtId="8" fontId="6" fillId="3" borderId="0" xfId="116">
      <alignment horizontal="right" vertical="top" shrinkToFit="1"/>
      <protection locked="0"/>
    </xf>
    <xf numFmtId="8" fontId="3" fillId="2" borderId="0" xfId="117">
      <alignment horizontal="right" vertical="top" shrinkToFit="1"/>
    </xf>
    <xf numFmtId="8" fontId="4" fillId="2" borderId="9" xfId="118">
      <alignment horizontal="right" vertical="top" shrinkToFit="1"/>
    </xf>
    <xf numFmtId="8" fontId="4" fillId="2" borderId="7" xfId="119">
      <alignment horizontal="right" vertical="top" shrinkToFit="1"/>
    </xf>
    <xf numFmtId="8" fontId="4" fillId="2" borderId="3" xfId="120">
      <alignment horizontal="right" vertical="top" shrinkToFit="1"/>
    </xf>
    <xf numFmtId="164" fontId="3" fillId="2" borderId="3" xfId="121">
      <alignment horizontal="center" vertical="top" shrinkToFit="1"/>
    </xf>
    <xf numFmtId="164" fontId="3" fillId="2" borderId="4" xfId="122">
      <alignment horizontal="center" vertical="top" shrinkToFit="1"/>
    </xf>
    <xf numFmtId="6" fontId="3" fillId="2" borderId="3" xfId="123">
      <alignment horizontal="right" vertical="top" shrinkToFit="1"/>
    </xf>
    <xf numFmtId="6" fontId="3" fillId="2" borderId="4" xfId="124">
      <alignment horizontal="right" vertical="top" shrinkToFit="1"/>
    </xf>
    <xf numFmtId="169" fontId="3" fillId="2" borderId="0" xfId="125">
      <alignment horizontal="right" vertical="top" shrinkToFit="1"/>
    </xf>
    <xf numFmtId="169" fontId="4" fillId="2" borderId="9" xfId="126">
      <alignment horizontal="right" vertical="top" shrinkToFit="1"/>
    </xf>
    <xf numFmtId="169" fontId="4" fillId="2" borderId="0" xfId="127">
      <alignment horizontal="right" vertical="top" shrinkToFit="1"/>
    </xf>
    <xf numFmtId="0" fontId="4" fillId="2" borderId="3" xfId="128">
      <alignment horizontal="left" vertical="top" shrinkToFit="1"/>
    </xf>
    <xf numFmtId="0" fontId="4" fillId="4" borderId="0" xfId="129">
      <alignment vertical="top" shrinkToFit="1"/>
    </xf>
    <xf numFmtId="0" fontId="7" fillId="4" borderId="0" xfId="130">
      <alignment vertical="top" shrinkToFit="1"/>
    </xf>
    <xf numFmtId="0" fontId="4" fillId="4" borderId="0" xfId="131">
      <alignment horizontal="right" vertical="top" shrinkToFit="1"/>
    </xf>
    <xf numFmtId="0" fontId="3" fillId="4" borderId="0" xfId="132">
      <alignment vertical="top" shrinkToFit="1"/>
    </xf>
    <xf numFmtId="0" fontId="7" fillId="2" borderId="3" xfId="133">
      <alignment vertical="top" shrinkToFit="1"/>
    </xf>
    <xf numFmtId="0" fontId="4" fillId="2" borderId="3" xfId="134">
      <alignment horizontal="right" vertical="top" shrinkToFit="1"/>
    </xf>
    <xf numFmtId="164" fontId="4" fillId="2" borderId="6" xfId="135">
      <alignment horizontal="right" vertical="top" shrinkToFit="1"/>
    </xf>
    <xf numFmtId="164" fontId="4" fillId="2" borderId="7" xfId="136">
      <alignment horizontal="right" vertical="top" shrinkToFit="1"/>
    </xf>
    <xf numFmtId="167" fontId="4" fillId="2" borderId="6" xfId="137">
      <alignment horizontal="right" vertical="top" shrinkToFit="1"/>
    </xf>
    <xf numFmtId="166" fontId="4" fillId="2" borderId="10" xfId="138">
      <alignment horizontal="right" vertical="top" shrinkToFit="1"/>
    </xf>
    <xf numFmtId="166" fontId="6" fillId="2" borderId="0" xfId="139">
      <alignment horizontal="right" vertical="top" shrinkToFit="1"/>
    </xf>
    <xf numFmtId="166" fontId="6" fillId="2" borderId="11" xfId="140">
      <alignment horizontal="right" vertical="top" shrinkToFit="1"/>
    </xf>
    <xf numFmtId="166" fontId="3" fillId="3" borderId="11" xfId="141">
      <alignment horizontal="right" vertical="top" shrinkToFit="1"/>
      <protection locked="0"/>
    </xf>
    <xf numFmtId="166" fontId="3" fillId="2" borderId="0" xfId="142">
      <alignment horizontal="right" vertical="top" shrinkToFit="1"/>
    </xf>
    <xf numFmtId="166" fontId="3" fillId="2" borderId="11" xfId="143">
      <alignment horizontal="right" vertical="top" shrinkToFit="1"/>
    </xf>
    <xf numFmtId="166" fontId="6" fillId="3" borderId="0" xfId="144">
      <alignment horizontal="right" vertical="top" shrinkToFit="1"/>
      <protection locked="0"/>
    </xf>
    <xf numFmtId="166" fontId="6" fillId="3" borderId="11" xfId="145">
      <alignment horizontal="right" vertical="top" shrinkToFit="1"/>
      <protection locked="0"/>
    </xf>
    <xf numFmtId="166" fontId="3" fillId="3" borderId="9" xfId="146">
      <alignment horizontal="right" vertical="top" shrinkToFit="1"/>
      <protection locked="0"/>
    </xf>
    <xf numFmtId="166" fontId="3" fillId="3" borderId="12" xfId="147">
      <alignment horizontal="right" vertical="top" shrinkToFit="1"/>
      <protection locked="0"/>
    </xf>
    <xf numFmtId="6" fontId="6" fillId="3" borderId="0" xfId="148">
      <alignment horizontal="right" vertical="top" shrinkToFit="1"/>
      <protection locked="0"/>
    </xf>
    <xf numFmtId="168" fontId="6" fillId="3" borderId="0" xfId="149">
      <alignment horizontal="right" vertical="top" shrinkToFit="1"/>
      <protection locked="0"/>
    </xf>
    <xf numFmtId="0" fontId="4" fillId="2" borderId="2" xfId="150">
      <alignment vertical="top" shrinkToFit="1"/>
    </xf>
    <xf numFmtId="8" fontId="4" fillId="2" borderId="10" xfId="151">
      <alignment horizontal="right" vertical="top" shrinkToFit="1"/>
    </xf>
    <xf numFmtId="8" fontId="6" fillId="2" borderId="11" xfId="152">
      <alignment horizontal="right" vertical="top" shrinkToFit="1"/>
    </xf>
    <xf numFmtId="8" fontId="4" fillId="2" borderId="11" xfId="153">
      <alignment horizontal="right" vertical="top" shrinkToFit="1"/>
    </xf>
    <xf numFmtId="8" fontId="6" fillId="2" borderId="12" xfId="154">
      <alignment horizontal="right" vertical="top" shrinkToFit="1"/>
    </xf>
    <xf numFmtId="170" fontId="4" fillId="2" borderId="8" xfId="155">
      <alignment horizontal="right" vertical="top" shrinkToFit="1"/>
    </xf>
    <xf numFmtId="170" fontId="4" fillId="2" borderId="5" xfId="156">
      <alignment horizontal="right" vertical="top" shrinkToFit="1"/>
    </xf>
    <xf numFmtId="170" fontId="6" fillId="2" borderId="0" xfId="157">
      <alignment horizontal="right" vertical="top" shrinkToFit="1"/>
    </xf>
    <xf numFmtId="170" fontId="4" fillId="2" borderId="6" xfId="158">
      <alignment horizontal="right" vertical="top" shrinkToFit="1"/>
    </xf>
    <xf numFmtId="170" fontId="4" fillId="2" borderId="0" xfId="159">
      <alignment horizontal="right" vertical="top" shrinkToFit="1"/>
    </xf>
    <xf numFmtId="170" fontId="4" fillId="2" borderId="3" xfId="160">
      <alignment horizontal="right" vertical="top" shrinkToFit="1"/>
    </xf>
    <xf numFmtId="170" fontId="4" fillId="2" borderId="1" xfId="161">
      <alignment horizontal="right" vertical="top" shrinkToFit="1"/>
    </xf>
    <xf numFmtId="168" fontId="4" fillId="2" borderId="3" xfId="162">
      <alignment horizontal="right" vertical="top" shrinkToFit="1"/>
    </xf>
    <xf numFmtId="168" fontId="4" fillId="2" borderId="1" xfId="163">
      <alignment horizontal="right" vertical="top" shrinkToFit="1"/>
    </xf>
    <xf numFmtId="3" fontId="4" fillId="2" borderId="0" xfId="164">
      <alignment horizontal="right" vertical="top" shrinkToFit="1"/>
    </xf>
    <xf numFmtId="3" fontId="4" fillId="2" borderId="11" xfId="165">
      <alignment horizontal="right" vertical="top" shrinkToFit="1"/>
    </xf>
    <xf numFmtId="6" fontId="4" fillId="2" borderId="10" xfId="166">
      <alignment horizontal="right" vertical="top" shrinkToFit="1"/>
    </xf>
    <xf numFmtId="6" fontId="4" fillId="2" borderId="11" xfId="167">
      <alignment horizontal="right" vertical="top" shrinkToFit="1"/>
    </xf>
    <xf numFmtId="6" fontId="4" fillId="2" borderId="12" xfId="168">
      <alignment horizontal="right" vertical="top" shrinkToFit="1"/>
    </xf>
    <xf numFmtId="6" fontId="4" fillId="2" borderId="4" xfId="169">
      <alignment horizontal="right" vertical="top" shrinkToFit="1"/>
    </xf>
    <xf numFmtId="6" fontId="4" fillId="2" borderId="3" xfId="170">
      <alignment horizontal="right" vertical="top" shrinkToFit="1"/>
    </xf>
    <xf numFmtId="168" fontId="4" fillId="2" borderId="11" xfId="171">
      <alignment horizontal="right" vertical="top" shrinkToFit="1"/>
    </xf>
    <xf numFmtId="168" fontId="6" fillId="2" borderId="12" xfId="172">
      <alignment horizontal="right" vertical="top" shrinkToFit="1"/>
    </xf>
    <xf numFmtId="169" fontId="4" fillId="2" borderId="3" xfId="173">
      <alignment horizontal="right" vertical="top" shrinkToFit="1"/>
    </xf>
    <xf numFmtId="169" fontId="4" fillId="2" borderId="1" xfId="174">
      <alignment horizontal="right" vertical="top" shrinkToFit="1"/>
    </xf>
    <xf numFmtId="0" fontId="4" fillId="2" borderId="13" xfId="175">
      <alignment horizontal="left" vertical="top" shrinkToFit="1"/>
    </xf>
    <xf numFmtId="0" fontId="4" fillId="2" borderId="14" xfId="176">
      <alignment horizontal="left" vertical="top" shrinkToFit="1"/>
    </xf>
    <xf numFmtId="0" fontId="3" fillId="3" borderId="14" xfId="178">
      <alignment vertical="top" shrinkToFit="1"/>
      <protection locked="0"/>
    </xf>
    <xf numFmtId="0" fontId="3" fillId="2" borderId="14" xfId="177">
      <alignment vertical="top" shrinkToFit="1"/>
    </xf>
    <xf numFmtId="0" fontId="4" fillId="3" borderId="14" xfId="179">
      <alignment vertical="top" shrinkToFit="1"/>
      <protection locked="0"/>
    </xf>
    <xf numFmtId="0" fontId="6" fillId="3" borderId="14" xfId="180">
      <alignment vertical="top" shrinkToFit="1"/>
      <protection locked="0"/>
    </xf>
    <xf numFmtId="0" fontId="7" fillId="3" borderId="14" xfId="181">
      <alignment vertical="top" shrinkToFit="1"/>
      <protection locked="0"/>
    </xf>
    <xf numFmtId="0" fontId="4" fillId="2" borderId="13" xfId="175" applyAlignment="1">
      <alignment horizontal="left" vertical="top" wrapText="1" shrinkToFit="1"/>
    </xf>
    <xf numFmtId="0" fontId="3" fillId="3" borderId="14" xfId="178" applyAlignment="1">
      <alignment vertical="top" wrapText="1" shrinkToFit="1"/>
      <protection locked="0"/>
    </xf>
    <xf numFmtId="0" fontId="0" fillId="0" borderId="0" xfId="0" applyAlignment="1">
      <alignment vertical="center" wrapText="1"/>
    </xf>
    <xf numFmtId="0" fontId="9" fillId="0" borderId="15" xfId="0" applyFont="1" applyBorder="1" applyAlignment="1">
      <alignment horizontal="left" vertical="center" wrapText="1" indent="4"/>
    </xf>
    <xf numFmtId="0" fontId="0" fillId="0" borderId="15" xfId="0" applyBorder="1">
      <alignment vertical="center"/>
    </xf>
    <xf numFmtId="0" fontId="10" fillId="0" borderId="15" xfId="0" applyFont="1" applyBorder="1" applyAlignment="1">
      <alignment horizontal="center" vertical="center" wrapText="1"/>
    </xf>
    <xf numFmtId="0" fontId="11" fillId="0" borderId="15" xfId="0" applyFont="1" applyBorder="1" applyAlignment="1">
      <alignment vertical="center" wrapText="1"/>
    </xf>
    <xf numFmtId="0" fontId="12" fillId="0" borderId="15" xfId="0" applyFont="1" applyBorder="1" applyAlignment="1">
      <alignment vertical="center" wrapText="1"/>
    </xf>
    <xf numFmtId="0" fontId="0" fillId="0" borderId="15" xfId="0" applyFont="1" applyBorder="1" applyAlignment="1">
      <alignment vertical="center" wrapText="1"/>
    </xf>
    <xf numFmtId="0" fontId="0" fillId="0" borderId="15" xfId="0" applyBorder="1" applyAlignment="1">
      <alignment vertical="center" wrapText="1"/>
    </xf>
    <xf numFmtId="0" fontId="19" fillId="0" borderId="15" xfId="1" applyBorder="1" applyAlignment="1" applyProtection="1">
      <alignment vertical="center" wrapText="1"/>
    </xf>
    <xf numFmtId="0" fontId="15" fillId="0" borderId="15" xfId="0" applyFont="1" applyBorder="1" applyAlignment="1">
      <alignment vertical="center" wrapText="1"/>
    </xf>
    <xf numFmtId="0" fontId="14" fillId="0" borderId="15" xfId="0" applyFont="1" applyBorder="1" applyAlignment="1">
      <alignment vertical="center" wrapText="1"/>
    </xf>
    <xf numFmtId="0" fontId="0" fillId="0" borderId="15" xfId="0" applyBorder="1" applyAlignment="1">
      <alignment horizontal="left" vertical="center" wrapText="1" indent="1"/>
    </xf>
    <xf numFmtId="0" fontId="0" fillId="0" borderId="15" xfId="0" applyBorder="1" applyAlignment="1">
      <alignment horizontal="left" vertical="center" wrapText="1" indent="2"/>
    </xf>
    <xf numFmtId="0" fontId="1" fillId="0" borderId="15" xfId="194" applyFont="1" applyBorder="1" applyAlignment="1">
      <alignment horizontal="left" vertical="center" wrapText="1" indent="1"/>
    </xf>
    <xf numFmtId="0" fontId="0" fillId="0" borderId="0" xfId="0" applyBorder="1" applyAlignment="1">
      <alignment vertical="center" wrapText="1"/>
    </xf>
    <xf numFmtId="0" fontId="1" fillId="0" borderId="15" xfId="194" applyNumberFormat="1" applyFont="1" applyBorder="1" applyAlignment="1">
      <alignment vertical="center" wrapText="1"/>
    </xf>
    <xf numFmtId="0" fontId="1" fillId="0" borderId="15" xfId="194" applyFont="1" applyBorder="1" applyAlignment="1">
      <alignment vertical="center" wrapText="1"/>
    </xf>
    <xf numFmtId="0" fontId="1" fillId="0" borderId="15" xfId="194" applyFont="1" applyBorder="1" applyAlignment="1">
      <alignment vertical="top" wrapText="1"/>
    </xf>
    <xf numFmtId="0" fontId="0" fillId="0" borderId="15" xfId="0" applyNumberFormat="1" applyBorder="1" applyAlignment="1">
      <alignment horizontal="left" vertical="center" wrapText="1"/>
    </xf>
    <xf numFmtId="0" fontId="0" fillId="6" borderId="1" xfId="0" applyFill="1" applyBorder="1" applyAlignment="1">
      <alignment vertical="center" wrapText="1"/>
    </xf>
    <xf numFmtId="0" fontId="0" fillId="0" borderId="16" xfId="0" applyBorder="1" applyAlignment="1">
      <alignment vertical="center" wrapText="1"/>
    </xf>
    <xf numFmtId="0" fontId="9" fillId="0" borderId="15" xfId="0" applyFont="1" applyBorder="1" applyAlignment="1">
      <alignment horizontal="center" vertical="center" wrapText="1"/>
    </xf>
    <xf numFmtId="0" fontId="0" fillId="0" borderId="18" xfId="0" applyBorder="1" applyAlignment="1">
      <alignment vertical="center" wrapText="1"/>
    </xf>
    <xf numFmtId="0" fontId="0" fillId="0" borderId="18" xfId="0" applyBorder="1">
      <alignment vertical="center"/>
    </xf>
    <xf numFmtId="0" fontId="14" fillId="0" borderId="18" xfId="0" applyFont="1" applyBorder="1" applyAlignment="1">
      <alignment vertical="center" wrapText="1"/>
    </xf>
    <xf numFmtId="0" fontId="0" fillId="0" borderId="18" xfId="0" applyBorder="1" applyAlignment="1">
      <alignment horizontal="left" vertical="center" wrapText="1" indent="1"/>
    </xf>
    <xf numFmtId="0" fontId="18" fillId="7" borderId="0" xfId="4" applyFont="1" applyFill="1" applyBorder="1" applyAlignment="1">
      <alignment horizontal="left" vertical="top" indent="2" shrinkToFit="1"/>
    </xf>
    <xf numFmtId="0" fontId="0" fillId="0" borderId="18" xfId="0" applyBorder="1" applyAlignment="1">
      <alignment horizontal="left" vertical="center" wrapText="1"/>
    </xf>
    <xf numFmtId="0" fontId="0" fillId="0" borderId="18" xfId="0" applyFont="1" applyBorder="1" applyAlignment="1">
      <alignment vertical="center" wrapText="1"/>
    </xf>
    <xf numFmtId="0" fontId="0" fillId="0" borderId="17" xfId="0" applyBorder="1" applyAlignment="1">
      <alignment vertical="center" wrapText="1"/>
    </xf>
    <xf numFmtId="0" fontId="18" fillId="7" borderId="0" xfId="4" applyFont="1" applyFill="1" applyBorder="1" applyAlignment="1">
      <alignment horizontal="left" vertical="top" indent="1" shrinkToFit="1"/>
    </xf>
    <xf numFmtId="0" fontId="18" fillId="7" borderId="0" xfId="4" applyFont="1" applyFill="1" applyBorder="1" applyAlignment="1">
      <alignment horizontal="left" vertical="top" wrapText="1"/>
    </xf>
    <xf numFmtId="0" fontId="3" fillId="2" borderId="0" xfId="3">
      <alignment vertical="top" shrinkToFit="1"/>
    </xf>
    <xf numFmtId="0" fontId="2" fillId="2" borderId="0" xfId="2">
      <alignment vertical="top" shrinkToFit="1"/>
    </xf>
    <xf numFmtId="0" fontId="5" fillId="2" borderId="0" xfId="7">
      <alignment vertical="top" shrinkToFit="1"/>
    </xf>
    <xf numFmtId="0" fontId="4" fillId="2" borderId="0" xfId="43">
      <alignment vertical="top" shrinkToFit="1"/>
    </xf>
    <xf numFmtId="0" fontId="19" fillId="0" borderId="18" xfId="1" applyBorder="1" applyAlignment="1" applyProtection="1">
      <alignment horizontal="left" vertical="center" wrapText="1" indent="1"/>
    </xf>
  </cellXfs>
  <cellStyles count="195">
    <cellStyle name="Hyperlink" xfId="1" builtinId="8"/>
    <cellStyle name="MSSStyle001" xfId="2"/>
    <cellStyle name="MSSStyle002" xfId="3"/>
    <cellStyle name="MSSStyle002 2" xfId="4"/>
    <cellStyle name="MSSStyle003" xfId="5"/>
    <cellStyle name="MSSStyle004" xfId="6"/>
    <cellStyle name="MSSStyle005" xfId="7"/>
    <cellStyle name="MSSStyle006" xfId="8"/>
    <cellStyle name="MSSStyle007" xfId="9"/>
    <cellStyle name="MSSStyle008" xfId="10"/>
    <cellStyle name="MSSStyle009" xfId="11"/>
    <cellStyle name="MSSStyle010" xfId="12"/>
    <cellStyle name="MSSStyle011" xfId="13"/>
    <cellStyle name="MSSStyle012" xfId="14"/>
    <cellStyle name="MSSStyle013" xfId="15"/>
    <cellStyle name="MSSStyle014" xfId="16"/>
    <cellStyle name="MSSStyle015" xfId="17"/>
    <cellStyle name="MSSStyle016" xfId="18"/>
    <cellStyle name="MSSStyle017" xfId="19"/>
    <cellStyle name="MSSStyle018" xfId="20"/>
    <cellStyle name="MSSStyle019" xfId="21"/>
    <cellStyle name="MSSStyle020" xfId="22"/>
    <cellStyle name="MSSStyle021" xfId="23"/>
    <cellStyle name="MSSStyle022" xfId="24"/>
    <cellStyle name="MSSStyle023" xfId="25"/>
    <cellStyle name="MSSStyle024" xfId="26"/>
    <cellStyle name="MSSStyle025" xfId="27"/>
    <cellStyle name="MSSStyle026" xfId="28"/>
    <cellStyle name="MSSStyle027" xfId="29"/>
    <cellStyle name="MSSStyle028" xfId="30"/>
    <cellStyle name="MSSStyle029" xfId="31"/>
    <cellStyle name="MSSStyle030" xfId="32"/>
    <cellStyle name="MSSStyle031" xfId="33"/>
    <cellStyle name="MSSStyle032" xfId="34"/>
    <cellStyle name="MSSStyle033" xfId="35"/>
    <cellStyle name="MSSStyle034" xfId="36"/>
    <cellStyle name="MSSStyle035" xfId="37"/>
    <cellStyle name="MSSStyle036" xfId="38"/>
    <cellStyle name="MSSStyle037" xfId="39"/>
    <cellStyle name="MSSStyle038" xfId="40"/>
    <cellStyle name="MSSStyle039" xfId="41"/>
    <cellStyle name="MSSStyle040" xfId="42"/>
    <cellStyle name="MSSStyle041" xfId="43"/>
    <cellStyle name="MSSStyle042" xfId="44"/>
    <cellStyle name="MSSStyle043" xfId="45"/>
    <cellStyle name="MSSStyle044" xfId="46"/>
    <cellStyle name="MSSStyle045" xfId="47"/>
    <cellStyle name="MSSStyle046" xfId="48"/>
    <cellStyle name="MSSStyle047" xfId="49"/>
    <cellStyle name="MSSStyle048" xfId="50"/>
    <cellStyle name="MSSStyle049" xfId="51"/>
    <cellStyle name="MSSStyle050" xfId="52"/>
    <cellStyle name="MSSStyle051" xfId="53"/>
    <cellStyle name="MSSStyle052" xfId="54"/>
    <cellStyle name="MSSStyle053" xfId="55"/>
    <cellStyle name="MSSStyle054" xfId="56"/>
    <cellStyle name="MSSStyle055" xfId="57"/>
    <cellStyle name="MSSStyle056" xfId="58"/>
    <cellStyle name="MSSStyle057" xfId="59"/>
    <cellStyle name="MSSStyle058" xfId="60"/>
    <cellStyle name="MSSStyle059" xfId="61"/>
    <cellStyle name="MSSStyle060" xfId="62"/>
    <cellStyle name="MSSStyle061" xfId="63"/>
    <cellStyle name="MSSStyle062" xfId="64"/>
    <cellStyle name="MSSStyle063" xfId="65"/>
    <cellStyle name="MSSStyle064" xfId="66"/>
    <cellStyle name="MSSStyle065" xfId="67"/>
    <cellStyle name="MSSStyle066" xfId="68"/>
    <cellStyle name="MSSStyle067" xfId="69"/>
    <cellStyle name="MSSStyle068" xfId="70"/>
    <cellStyle name="MSSStyle069" xfId="71"/>
    <cellStyle name="MSSStyle070" xfId="72"/>
    <cellStyle name="MSSStyle071" xfId="73"/>
    <cellStyle name="MSSStyle072" xfId="74"/>
    <cellStyle name="MSSStyle073" xfId="75"/>
    <cellStyle name="MSSStyle074" xfId="76"/>
    <cellStyle name="MSSStyle075" xfId="77"/>
    <cellStyle name="MSSStyle076" xfId="78"/>
    <cellStyle name="MSSStyle077" xfId="79"/>
    <cellStyle name="MSSStyle078" xfId="80"/>
    <cellStyle name="MSSStyle079" xfId="81"/>
    <cellStyle name="MSSStyle080" xfId="82"/>
    <cellStyle name="MSSStyle081" xfId="83"/>
    <cellStyle name="MSSStyle082" xfId="84"/>
    <cellStyle name="MSSStyle083" xfId="85"/>
    <cellStyle name="MSSStyle084" xfId="86"/>
    <cellStyle name="MSSStyle085" xfId="87"/>
    <cellStyle name="MSSStyle086" xfId="88"/>
    <cellStyle name="MSSStyle087" xfId="89"/>
    <cellStyle name="MSSStyle088" xfId="90"/>
    <cellStyle name="MSSStyle089" xfId="91"/>
    <cellStyle name="MSSStyle090" xfId="92"/>
    <cellStyle name="MSSStyle091" xfId="93"/>
    <cellStyle name="MSSStyle092" xfId="94"/>
    <cellStyle name="MSSStyle093" xfId="95"/>
    <cellStyle name="MSSStyle094" xfId="96"/>
    <cellStyle name="MSSStyle095" xfId="97"/>
    <cellStyle name="MSSStyle096" xfId="98"/>
    <cellStyle name="MSSStyle097" xfId="99"/>
    <cellStyle name="MSSStyle098" xfId="100"/>
    <cellStyle name="MSSStyle099" xfId="101"/>
    <cellStyle name="MSSStyle100" xfId="102"/>
    <cellStyle name="MSSStyle101" xfId="103"/>
    <cellStyle name="MSSStyle102" xfId="104"/>
    <cellStyle name="MSSStyle103" xfId="105"/>
    <cellStyle name="MSSStyle104" xfId="106"/>
    <cellStyle name="MSSStyle105" xfId="107"/>
    <cellStyle name="MSSStyle106" xfId="108"/>
    <cellStyle name="MSSStyle107" xfId="109"/>
    <cellStyle name="MSSStyle108" xfId="110"/>
    <cellStyle name="MSSStyle109" xfId="111"/>
    <cellStyle name="MSSStyle110" xfId="112"/>
    <cellStyle name="MSSStyle111" xfId="113"/>
    <cellStyle name="MSSStyle112" xfId="114"/>
    <cellStyle name="MSSStyle113" xfId="115"/>
    <cellStyle name="MSSStyle114" xfId="116"/>
    <cellStyle name="MSSStyle115" xfId="117"/>
    <cellStyle name="MSSStyle116" xfId="118"/>
    <cellStyle name="MSSStyle117" xfId="119"/>
    <cellStyle name="MSSStyle118" xfId="120"/>
    <cellStyle name="MSSStyle119" xfId="121"/>
    <cellStyle name="MSSStyle120" xfId="122"/>
    <cellStyle name="MSSStyle121" xfId="123"/>
    <cellStyle name="MSSStyle122" xfId="124"/>
    <cellStyle name="MSSStyle123" xfId="125"/>
    <cellStyle name="MSSStyle124" xfId="126"/>
    <cellStyle name="MSSStyle125" xfId="127"/>
    <cellStyle name="MSSStyle126" xfId="128"/>
    <cellStyle name="MSSStyle127" xfId="129"/>
    <cellStyle name="MSSStyle128" xfId="130"/>
    <cellStyle name="MSSStyle129" xfId="131"/>
    <cellStyle name="MSSStyle130" xfId="132"/>
    <cellStyle name="MSSStyle131" xfId="133"/>
    <cellStyle name="MSSStyle132" xfId="134"/>
    <cellStyle name="MSSStyle133" xfId="135"/>
    <cellStyle name="MSSStyle134" xfId="136"/>
    <cellStyle name="MSSStyle135" xfId="137"/>
    <cellStyle name="MSSStyle136" xfId="138"/>
    <cellStyle name="MSSStyle137" xfId="139"/>
    <cellStyle name="MSSStyle138" xfId="140"/>
    <cellStyle name="MSSStyle139" xfId="141"/>
    <cellStyle name="MSSStyle140" xfId="142"/>
    <cellStyle name="MSSStyle141" xfId="143"/>
    <cellStyle name="MSSStyle142" xfId="144"/>
    <cellStyle name="MSSStyle143" xfId="145"/>
    <cellStyle name="MSSStyle144" xfId="146"/>
    <cellStyle name="MSSStyle145" xfId="147"/>
    <cellStyle name="MSSStyle146" xfId="148"/>
    <cellStyle name="MSSStyle147" xfId="149"/>
    <cellStyle name="MSSStyle148" xfId="150"/>
    <cellStyle name="MSSStyle149" xfId="151"/>
    <cellStyle name="MSSStyle150" xfId="152"/>
    <cellStyle name="MSSStyle151" xfId="153"/>
    <cellStyle name="MSSStyle152" xfId="154"/>
    <cellStyle name="MSSStyle153" xfId="155"/>
    <cellStyle name="MSSStyle154" xfId="156"/>
    <cellStyle name="MSSStyle155" xfId="157"/>
    <cellStyle name="MSSStyle156" xfId="158"/>
    <cellStyle name="MSSStyle157" xfId="159"/>
    <cellStyle name="MSSStyle158" xfId="160"/>
    <cellStyle name="MSSStyle159" xfId="161"/>
    <cellStyle name="MSSStyle160" xfId="162"/>
    <cellStyle name="MSSStyle161" xfId="163"/>
    <cellStyle name="MSSStyle162" xfId="164"/>
    <cellStyle name="MSSStyle163" xfId="165"/>
    <cellStyle name="MSSStyle164" xfId="166"/>
    <cellStyle name="MSSStyle165" xfId="167"/>
    <cellStyle name="MSSStyle166" xfId="168"/>
    <cellStyle name="MSSStyle167" xfId="169"/>
    <cellStyle name="MSSStyle168" xfId="170"/>
    <cellStyle name="MSSStyle169" xfId="171"/>
    <cellStyle name="MSSStyle170" xfId="172"/>
    <cellStyle name="MSSStyle171" xfId="173"/>
    <cellStyle name="MSSStyle172" xfId="174"/>
    <cellStyle name="MSSStyle173" xfId="175"/>
    <cellStyle name="MSSStyle174" xfId="176"/>
    <cellStyle name="MSSStyle175" xfId="177"/>
    <cellStyle name="MSSStyle176" xfId="178"/>
    <cellStyle name="MSSStyle177" xfId="179"/>
    <cellStyle name="MSSStyle178" xfId="180"/>
    <cellStyle name="MSSStyle179" xfId="181"/>
    <cellStyle name="MSSStyle180" xfId="182"/>
    <cellStyle name="MSSStyle181" xfId="183"/>
    <cellStyle name="MSSStyle182" xfId="184"/>
    <cellStyle name="MSSStyle183" xfId="185"/>
    <cellStyle name="MSSStyle184" xfId="186"/>
    <cellStyle name="MSSStyle185" xfId="187"/>
    <cellStyle name="MSSStyle186" xfId="188"/>
    <cellStyle name="MSSStyle187" xfId="189"/>
    <cellStyle name="MSSStyle188" xfId="190"/>
    <cellStyle name="MSSStyle189" xfId="191"/>
    <cellStyle name="MSSStyle190" xfId="192"/>
    <cellStyle name="MSSStyle191" xfId="193"/>
    <cellStyle name="Normal" xfId="0" builtinId="0"/>
    <cellStyle name="Normal 2" xfId="19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1743075</xdr:colOff>
      <xdr:row>46</xdr:row>
      <xdr:rowOff>190500</xdr:rowOff>
    </xdr:from>
    <xdr:to>
      <xdr:col>0</xdr:col>
      <xdr:colOff>4953000</xdr:colOff>
      <xdr:row>46</xdr:row>
      <xdr:rowOff>1657350</xdr:rowOff>
    </xdr:to>
    <xdr:pic>
      <xdr:nvPicPr>
        <xdr:cNvPr id="13314" name="Picture 2" descr="workflow"/>
        <xdr:cNvPicPr>
          <a:picLocks noChangeAspect="1" noChangeArrowheads="1"/>
        </xdr:cNvPicPr>
      </xdr:nvPicPr>
      <xdr:blipFill>
        <a:blip xmlns:r="http://schemas.openxmlformats.org/officeDocument/2006/relationships" r:embed="rId1"/>
        <a:srcRect/>
        <a:stretch>
          <a:fillRect/>
        </a:stretch>
      </xdr:blipFill>
      <xdr:spPr bwMode="auto">
        <a:xfrm>
          <a:off x="1743075" y="4695825"/>
          <a:ext cx="32099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ites.google.com/site/bpogroupfinance/services" TargetMode="External"/><Relationship Id="rId7" Type="http://schemas.openxmlformats.org/officeDocument/2006/relationships/printerSettings" Target="../printerSettings/printerSettings1.bin"/><Relationship Id="rId2" Type="http://schemas.openxmlformats.org/officeDocument/2006/relationships/hyperlink" Target="http://finmodel.at.ua/load" TargetMode="External"/><Relationship Id="rId1" Type="http://schemas.openxmlformats.org/officeDocument/2006/relationships/hyperlink" Target="http://templates.modelsheetsoft.com/modelsheettemplates/capitalization-table-templates.aspx?s=captable.xls" TargetMode="External"/><Relationship Id="rId6" Type="http://schemas.openxmlformats.org/officeDocument/2006/relationships/hyperlink" Target="http://sites.google.com/site/bpogroupfinance/" TargetMode="External"/><Relationship Id="rId5" Type="http://schemas.openxmlformats.org/officeDocument/2006/relationships/hyperlink" Target="mailto:BPO.infosource@gmail.com" TargetMode="External"/><Relationship Id="rId4" Type="http://schemas.openxmlformats.org/officeDocument/2006/relationships/hyperlink" Target="http://finmodel.at.ua/"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sheetPr>
    <outlinePr summaryBelow="0" summaryRight="0"/>
  </sheetPr>
  <dimension ref="A2:A165"/>
  <sheetViews>
    <sheetView tabSelected="1" workbookViewId="0">
      <selection activeCell="A53" sqref="A53:A55"/>
    </sheetView>
  </sheetViews>
  <sheetFormatPr defaultRowHeight="12.75" outlineLevelRow="2"/>
  <cols>
    <col min="1" max="1" width="98.7109375" style="188" customWidth="1"/>
    <col min="2" max="16384" width="9.140625" style="183"/>
  </cols>
  <sheetData>
    <row r="2" spans="1:1" ht="15.75">
      <c r="A2" s="182"/>
    </row>
    <row r="3" spans="1:1" ht="18">
      <c r="A3" s="184" t="s">
        <v>695</v>
      </c>
    </row>
    <row r="5" spans="1:1" ht="15">
      <c r="A5" s="185" t="s">
        <v>696</v>
      </c>
    </row>
    <row r="6" spans="1:1">
      <c r="A6" s="186" t="s">
        <v>697</v>
      </c>
    </row>
    <row r="7" spans="1:1">
      <c r="A7" s="187"/>
    </row>
    <row r="8" spans="1:1" ht="51">
      <c r="A8" s="188" t="s">
        <v>698</v>
      </c>
    </row>
    <row r="9" spans="1:1">
      <c r="A9" s="189" t="s">
        <v>699</v>
      </c>
    </row>
    <row r="10" spans="1:1">
      <c r="A10" s="187"/>
    </row>
    <row r="11" spans="1:1" ht="15">
      <c r="A11" s="190" t="s">
        <v>773</v>
      </c>
    </row>
    <row r="12" spans="1:1">
      <c r="A12" s="187"/>
    </row>
    <row r="13" spans="1:1">
      <c r="A13" s="191" t="s">
        <v>700</v>
      </c>
    </row>
    <row r="14" spans="1:1" collapsed="1">
      <c r="A14" s="192" t="s">
        <v>701</v>
      </c>
    </row>
    <row r="15" spans="1:1" hidden="1" outlineLevel="1">
      <c r="A15" s="192" t="s">
        <v>702</v>
      </c>
    </row>
    <row r="16" spans="1:1" hidden="1" outlineLevel="2">
      <c r="A16" s="193" t="s">
        <v>703</v>
      </c>
    </row>
    <row r="17" spans="1:1" hidden="1" outlineLevel="2">
      <c r="A17" s="193" t="s">
        <v>704</v>
      </c>
    </row>
    <row r="18" spans="1:1" hidden="1" outlineLevel="2">
      <c r="A18" s="193" t="s">
        <v>705</v>
      </c>
    </row>
    <row r="19" spans="1:1" hidden="1" outlineLevel="2">
      <c r="A19" s="193" t="s">
        <v>706</v>
      </c>
    </row>
    <row r="20" spans="1:1" ht="25.5" hidden="1" outlineLevel="2">
      <c r="A20" s="193" t="s">
        <v>707</v>
      </c>
    </row>
    <row r="21" spans="1:1" hidden="1" outlineLevel="2">
      <c r="A21" s="192"/>
    </row>
    <row r="22" spans="1:1" hidden="1" outlineLevel="1">
      <c r="A22" s="192" t="s">
        <v>708</v>
      </c>
    </row>
    <row r="23" spans="1:1" hidden="1" outlineLevel="2">
      <c r="A23" s="193" t="s">
        <v>709</v>
      </c>
    </row>
    <row r="24" spans="1:1" hidden="1" outlineLevel="2">
      <c r="A24" s="193" t="s">
        <v>710</v>
      </c>
    </row>
    <row r="25" spans="1:1" hidden="1" outlineLevel="2">
      <c r="A25" s="193" t="s">
        <v>711</v>
      </c>
    </row>
    <row r="26" spans="1:1" hidden="1" outlineLevel="2">
      <c r="A26" s="187"/>
    </row>
    <row r="27" spans="1:1" hidden="1" outlineLevel="1">
      <c r="A27" s="192" t="s">
        <v>774</v>
      </c>
    </row>
    <row r="28" spans="1:1" hidden="1" outlineLevel="2">
      <c r="A28" s="193" t="s">
        <v>712</v>
      </c>
    </row>
    <row r="29" spans="1:1" ht="25.5" hidden="1" outlineLevel="2">
      <c r="A29" s="193" t="s">
        <v>775</v>
      </c>
    </row>
    <row r="30" spans="1:1" hidden="1" outlineLevel="2">
      <c r="A30" s="193" t="s">
        <v>776</v>
      </c>
    </row>
    <row r="31" spans="1:1" hidden="1" outlineLevel="1">
      <c r="A31" s="193"/>
    </row>
    <row r="32" spans="1:1">
      <c r="A32" s="217" t="s">
        <v>771</v>
      </c>
    </row>
    <row r="33" spans="1:1">
      <c r="A33" s="187"/>
    </row>
    <row r="34" spans="1:1">
      <c r="A34" s="191" t="s">
        <v>777</v>
      </c>
    </row>
    <row r="35" spans="1:1" collapsed="1">
      <c r="A35" s="192" t="s">
        <v>701</v>
      </c>
    </row>
    <row r="36" spans="1:1" hidden="1" outlineLevel="1">
      <c r="A36" s="192" t="s">
        <v>713</v>
      </c>
    </row>
    <row r="37" spans="1:1" hidden="1" outlineLevel="1">
      <c r="A37" s="192" t="s">
        <v>778</v>
      </c>
    </row>
    <row r="38" spans="1:1" hidden="1" outlineLevel="1">
      <c r="A38" s="192"/>
    </row>
    <row r="39" spans="1:1">
      <c r="A39" s="217" t="s">
        <v>772</v>
      </c>
    </row>
    <row r="40" spans="1:1">
      <c r="A40" s="187"/>
    </row>
    <row r="41" spans="1:1">
      <c r="A41" s="191" t="s">
        <v>779</v>
      </c>
    </row>
    <row r="42" spans="1:1">
      <c r="A42" s="187"/>
    </row>
    <row r="43" spans="1:1" ht="25.5">
      <c r="A43" s="194" t="s">
        <v>780</v>
      </c>
    </row>
    <row r="44" spans="1:1" collapsed="1">
      <c r="A44" s="192" t="s">
        <v>781</v>
      </c>
    </row>
    <row r="45" spans="1:1" hidden="1" outlineLevel="1">
      <c r="A45" s="195"/>
    </row>
    <row r="46" spans="1:1" ht="63.75" hidden="1" outlineLevel="1">
      <c r="A46" s="196" t="s">
        <v>782</v>
      </c>
    </row>
    <row r="47" spans="1:1" ht="140.1" hidden="1" customHeight="1" outlineLevel="1">
      <c r="A47" s="197"/>
    </row>
    <row r="48" spans="1:1" ht="89.25" hidden="1" outlineLevel="1">
      <c r="A48" s="198" t="s">
        <v>783</v>
      </c>
    </row>
    <row r="49" spans="1:1" hidden="1" outlineLevel="1">
      <c r="A49" s="198"/>
    </row>
    <row r="50" spans="1:1" ht="63.75" hidden="1" outlineLevel="1">
      <c r="A50" s="199" t="s">
        <v>784</v>
      </c>
    </row>
    <row r="51" spans="1:1">
      <c r="A51" s="187"/>
    </row>
    <row r="52" spans="1:1">
      <c r="A52" s="197" t="s">
        <v>785</v>
      </c>
    </row>
    <row r="53" spans="1:1">
      <c r="A53" s="189" t="s">
        <v>792</v>
      </c>
    </row>
    <row r="54" spans="1:1">
      <c r="A54" s="189" t="s">
        <v>793</v>
      </c>
    </row>
    <row r="55" spans="1:1">
      <c r="A55" s="189" t="s">
        <v>794</v>
      </c>
    </row>
    <row r="56" spans="1:1">
      <c r="A56" s="200"/>
    </row>
    <row r="57" spans="1:1">
      <c r="A57" s="201"/>
    </row>
    <row r="58" spans="1:1" ht="15.75">
      <c r="A58" s="202" t="s">
        <v>714</v>
      </c>
    </row>
    <row r="60" spans="1:1" s="204" customFormat="1" ht="51">
      <c r="A60" s="203" t="s">
        <v>786</v>
      </c>
    </row>
    <row r="61" spans="1:1" s="204" customFormat="1">
      <c r="A61" s="203"/>
    </row>
    <row r="62" spans="1:1" s="204" customFormat="1">
      <c r="A62" s="205" t="s">
        <v>715</v>
      </c>
    </row>
    <row r="63" spans="1:1" s="204" customFormat="1">
      <c r="A63" s="203"/>
    </row>
    <row r="64" spans="1:1" s="204" customFormat="1">
      <c r="A64" s="203" t="s">
        <v>716</v>
      </c>
    </row>
    <row r="65" spans="1:1" s="204" customFormat="1">
      <c r="A65" s="203"/>
    </row>
    <row r="66" spans="1:1" s="204" customFormat="1" ht="25.5">
      <c r="A66" s="206" t="s">
        <v>717</v>
      </c>
    </row>
    <row r="67" spans="1:1" s="204" customFormat="1">
      <c r="A67" s="206"/>
    </row>
    <row r="68" spans="1:1" s="204" customFormat="1">
      <c r="A68" s="206" t="s">
        <v>718</v>
      </c>
    </row>
    <row r="69" spans="1:1" s="204" customFormat="1">
      <c r="A69" s="206"/>
    </row>
    <row r="70" spans="1:1" s="204" customFormat="1">
      <c r="A70" s="206" t="s">
        <v>719</v>
      </c>
    </row>
    <row r="71" spans="1:1" s="204" customFormat="1">
      <c r="A71" s="206"/>
    </row>
    <row r="72" spans="1:1" s="204" customFormat="1" ht="25.5">
      <c r="A72" s="206" t="s">
        <v>720</v>
      </c>
    </row>
    <row r="73" spans="1:1" s="204" customFormat="1">
      <c r="A73" s="206"/>
    </row>
    <row r="74" spans="1:1" s="204" customFormat="1">
      <c r="A74" s="206" t="s">
        <v>721</v>
      </c>
    </row>
    <row r="75" spans="1:1" s="204" customFormat="1">
      <c r="A75" s="206"/>
    </row>
    <row r="76" spans="1:1" s="204" customFormat="1" ht="25.5">
      <c r="A76" s="203" t="s">
        <v>787</v>
      </c>
    </row>
    <row r="77" spans="1:1" s="204" customFormat="1">
      <c r="A77" s="203"/>
    </row>
    <row r="78" spans="1:1" s="204" customFormat="1">
      <c r="A78" s="205" t="s">
        <v>722</v>
      </c>
    </row>
    <row r="79" spans="1:1" s="204" customFormat="1">
      <c r="A79" s="203"/>
    </row>
    <row r="80" spans="1:1" s="204" customFormat="1">
      <c r="A80" s="203" t="s">
        <v>723</v>
      </c>
    </row>
    <row r="81" spans="1:1" s="204" customFormat="1">
      <c r="A81" s="203"/>
    </row>
    <row r="82" spans="1:1" s="204" customFormat="1">
      <c r="A82" s="206" t="s">
        <v>724</v>
      </c>
    </row>
    <row r="83" spans="1:1" s="204" customFormat="1">
      <c r="A83" s="206"/>
    </row>
    <row r="84" spans="1:1" s="204" customFormat="1">
      <c r="A84" s="206" t="s">
        <v>725</v>
      </c>
    </row>
    <row r="85" spans="1:1" s="204" customFormat="1">
      <c r="A85" s="206"/>
    </row>
    <row r="86" spans="1:1" s="204" customFormat="1">
      <c r="A86" s="206" t="s">
        <v>726</v>
      </c>
    </row>
    <row r="87" spans="1:1" s="204" customFormat="1">
      <c r="A87" s="206"/>
    </row>
    <row r="88" spans="1:1" s="204" customFormat="1" ht="25.5">
      <c r="A88" s="206" t="s">
        <v>727</v>
      </c>
    </row>
    <row r="89" spans="1:1" s="204" customFormat="1">
      <c r="A89" s="206"/>
    </row>
    <row r="90" spans="1:1" s="204" customFormat="1">
      <c r="A90" s="206" t="s">
        <v>728</v>
      </c>
    </row>
    <row r="91" spans="1:1" s="204" customFormat="1">
      <c r="A91" s="203"/>
    </row>
    <row r="92" spans="1:1" s="204" customFormat="1">
      <c r="A92" s="205" t="s">
        <v>729</v>
      </c>
    </row>
    <row r="93" spans="1:1" s="204" customFormat="1">
      <c r="A93" s="203"/>
    </row>
    <row r="94" spans="1:1" s="204" customFormat="1" ht="25.5">
      <c r="A94" s="203" t="s">
        <v>730</v>
      </c>
    </row>
    <row r="95" spans="1:1" s="204" customFormat="1">
      <c r="A95" s="203"/>
    </row>
    <row r="96" spans="1:1" s="204" customFormat="1">
      <c r="A96" s="205" t="s">
        <v>731</v>
      </c>
    </row>
    <row r="97" spans="1:1" s="204" customFormat="1">
      <c r="A97" s="203"/>
    </row>
    <row r="98" spans="1:1" s="204" customFormat="1">
      <c r="A98" s="203" t="s">
        <v>732</v>
      </c>
    </row>
    <row r="99" spans="1:1" s="204" customFormat="1">
      <c r="A99" s="203"/>
    </row>
    <row r="100" spans="1:1" s="204" customFormat="1">
      <c r="A100" s="206" t="s">
        <v>733</v>
      </c>
    </row>
    <row r="101" spans="1:1" s="204" customFormat="1">
      <c r="A101" s="206"/>
    </row>
    <row r="102" spans="1:1" s="204" customFormat="1" ht="25.5">
      <c r="A102" s="206" t="s">
        <v>734</v>
      </c>
    </row>
    <row r="103" spans="1:1" s="204" customFormat="1">
      <c r="A103" s="206"/>
    </row>
    <row r="104" spans="1:1" s="204" customFormat="1">
      <c r="A104" s="206" t="s">
        <v>735</v>
      </c>
    </row>
    <row r="105" spans="1:1" s="204" customFormat="1">
      <c r="A105" s="206"/>
    </row>
    <row r="106" spans="1:1" s="204" customFormat="1" ht="25.5">
      <c r="A106" s="206" t="s">
        <v>736</v>
      </c>
    </row>
    <row r="107" spans="1:1" s="204" customFormat="1">
      <c r="A107" s="207"/>
    </row>
    <row r="108" spans="1:1" s="204" customFormat="1">
      <c r="A108" s="206" t="s">
        <v>737</v>
      </c>
    </row>
    <row r="109" spans="1:1" s="204" customFormat="1">
      <c r="A109" s="206"/>
    </row>
    <row r="110" spans="1:1" s="204" customFormat="1">
      <c r="A110" s="208" t="s">
        <v>738</v>
      </c>
    </row>
    <row r="111" spans="1:1" s="204" customFormat="1">
      <c r="A111" s="208"/>
    </row>
    <row r="112" spans="1:1" s="204" customFormat="1" ht="38.25">
      <c r="A112" s="208" t="s">
        <v>788</v>
      </c>
    </row>
    <row r="113" spans="1:1" s="204" customFormat="1">
      <c r="A113" s="203"/>
    </row>
    <row r="114" spans="1:1" s="204" customFormat="1">
      <c r="A114" s="205" t="s">
        <v>739</v>
      </c>
    </row>
    <row r="115" spans="1:1" s="204" customFormat="1">
      <c r="A115" s="203"/>
    </row>
    <row r="116" spans="1:1" s="204" customFormat="1">
      <c r="A116" s="209" t="s">
        <v>740</v>
      </c>
    </row>
    <row r="117" spans="1:1" s="204" customFormat="1">
      <c r="A117" s="203"/>
    </row>
    <row r="118" spans="1:1" s="204" customFormat="1">
      <c r="A118" s="206" t="s">
        <v>741</v>
      </c>
    </row>
    <row r="119" spans="1:1" s="204" customFormat="1">
      <c r="A119" s="206"/>
    </row>
    <row r="120" spans="1:1" s="204" customFormat="1" ht="25.5">
      <c r="A120" s="206" t="s">
        <v>742</v>
      </c>
    </row>
    <row r="121" spans="1:1" s="204" customFormat="1">
      <c r="A121" s="206"/>
    </row>
    <row r="122" spans="1:1" s="204" customFormat="1">
      <c r="A122" s="206" t="s">
        <v>743</v>
      </c>
    </row>
    <row r="123" spans="1:1" s="204" customFormat="1">
      <c r="A123" s="203"/>
    </row>
    <row r="124" spans="1:1" s="204" customFormat="1">
      <c r="A124" s="208" t="s">
        <v>744</v>
      </c>
    </row>
    <row r="126" spans="1:1">
      <c r="A126" s="200"/>
    </row>
    <row r="127" spans="1:1">
      <c r="A127" s="210"/>
    </row>
    <row r="128" spans="1:1" ht="15.75">
      <c r="A128" s="202" t="s">
        <v>745</v>
      </c>
    </row>
    <row r="130" spans="1:1" s="204" customFormat="1">
      <c r="A130" s="191" t="s">
        <v>746</v>
      </c>
    </row>
    <row r="131" spans="1:1" s="204" customFormat="1">
      <c r="A131" s="210"/>
    </row>
    <row r="132" spans="1:1" s="204" customFormat="1">
      <c r="A132" s="210" t="s">
        <v>747</v>
      </c>
    </row>
    <row r="133" spans="1:1" s="204" customFormat="1" ht="25.5">
      <c r="A133" s="206" t="s">
        <v>748</v>
      </c>
    </row>
    <row r="134" spans="1:1" s="204" customFormat="1" ht="38.25">
      <c r="A134" s="206" t="s">
        <v>749</v>
      </c>
    </row>
    <row r="135" spans="1:1" s="204" customFormat="1">
      <c r="A135" s="206" t="s">
        <v>750</v>
      </c>
    </row>
    <row r="136" spans="1:1" s="204" customFormat="1" ht="25.5">
      <c r="A136" s="206" t="s">
        <v>751</v>
      </c>
    </row>
    <row r="137" spans="1:1" s="204" customFormat="1" ht="38.25">
      <c r="A137" s="206" t="s">
        <v>752</v>
      </c>
    </row>
    <row r="138" spans="1:1" s="204" customFormat="1">
      <c r="A138" s="203"/>
    </row>
    <row r="139" spans="1:1" s="204" customFormat="1">
      <c r="A139" s="191" t="s">
        <v>753</v>
      </c>
    </row>
    <row r="140" spans="1:1" s="204" customFormat="1">
      <c r="A140" s="203"/>
    </row>
    <row r="141" spans="1:1" s="204" customFormat="1" ht="25.5">
      <c r="A141" s="208" t="s">
        <v>754</v>
      </c>
    </row>
    <row r="142" spans="1:1" s="204" customFormat="1">
      <c r="A142" s="211" t="s">
        <v>755</v>
      </c>
    </row>
    <row r="143" spans="1:1" s="204" customFormat="1">
      <c r="A143" s="211" t="s">
        <v>756</v>
      </c>
    </row>
    <row r="144" spans="1:1" s="204" customFormat="1">
      <c r="A144" s="211" t="s">
        <v>757</v>
      </c>
    </row>
    <row r="145" spans="1:1" s="204" customFormat="1">
      <c r="A145" s="211" t="s">
        <v>758</v>
      </c>
    </row>
    <row r="146" spans="1:1" s="204" customFormat="1">
      <c r="A146" s="211" t="s">
        <v>759</v>
      </c>
    </row>
    <row r="147" spans="1:1" s="204" customFormat="1">
      <c r="A147" s="211"/>
    </row>
    <row r="148" spans="1:1" s="204" customFormat="1" ht="38.25">
      <c r="A148" s="212" t="s">
        <v>760</v>
      </c>
    </row>
    <row r="149" spans="1:1" s="204" customFormat="1">
      <c r="A149" s="203"/>
    </row>
    <row r="150" spans="1:1" s="204" customFormat="1">
      <c r="A150" s="191" t="s">
        <v>761</v>
      </c>
    </row>
    <row r="151" spans="1:1" s="204" customFormat="1">
      <c r="A151" s="203"/>
    </row>
    <row r="152" spans="1:1" s="204" customFormat="1">
      <c r="A152" s="203" t="s">
        <v>762</v>
      </c>
    </row>
    <row r="153" spans="1:1" s="204" customFormat="1">
      <c r="A153" s="206" t="s">
        <v>763</v>
      </c>
    </row>
    <row r="154" spans="1:1" s="204" customFormat="1">
      <c r="A154" s="206" t="s">
        <v>764</v>
      </c>
    </row>
    <row r="155" spans="1:1" s="204" customFormat="1">
      <c r="A155" s="206" t="s">
        <v>765</v>
      </c>
    </row>
    <row r="156" spans="1:1" s="204" customFormat="1">
      <c r="A156" s="206" t="s">
        <v>766</v>
      </c>
    </row>
    <row r="157" spans="1:1" s="204" customFormat="1">
      <c r="A157" s="193" t="s">
        <v>767</v>
      </c>
    </row>
    <row r="158" spans="1:1" s="204" customFormat="1" ht="25.5">
      <c r="A158" s="193" t="s">
        <v>768</v>
      </c>
    </row>
    <row r="159" spans="1:1" s="204" customFormat="1">
      <c r="A159" s="206" t="s">
        <v>769</v>
      </c>
    </row>
    <row r="160" spans="1:1" s="204" customFormat="1" ht="25.5">
      <c r="A160" s="203" t="s">
        <v>770</v>
      </c>
    </row>
    <row r="162" spans="1:1">
      <c r="A162" s="188" t="s">
        <v>789</v>
      </c>
    </row>
    <row r="164" spans="1:1">
      <c r="A164" s="188" t="s">
        <v>790</v>
      </c>
    </row>
    <row r="165" spans="1:1">
      <c r="A165" s="188" t="s">
        <v>791</v>
      </c>
    </row>
  </sheetData>
  <hyperlinks>
    <hyperlink ref="A9" r:id="rId1"/>
    <hyperlink ref="A32" r:id="rId2"/>
    <hyperlink ref="A39" r:id="rId3"/>
    <hyperlink ref="A53" r:id="rId4"/>
    <hyperlink ref="A55" r:id="rId5"/>
    <hyperlink ref="A54" r:id="rId6"/>
  </hyperlinks>
  <printOptions horizontalCentered="1"/>
  <pageMargins left="0.45" right="0.45" top="0.5" bottom="0.5" header="0.3" footer="0.3"/>
  <pageSetup orientation="portrait" r:id="rId7"/>
  <headerFooter>
    <oddFooter>&amp;LModelSheet is a trademark of ModelSheet Software, LLC&amp;Rpage &amp;P of &amp;N</oddFooter>
  </headerFooter>
  <drawing r:id="rId8"/>
</worksheet>
</file>

<file path=xl/worksheets/sheet10.xml><?xml version="1.0" encoding="utf-8"?>
<worksheet xmlns="http://schemas.openxmlformats.org/spreadsheetml/2006/main" xmlns:r="http://schemas.openxmlformats.org/officeDocument/2006/relationships">
  <sheetPr>
    <outlinePr summaryBelow="0" summaryRight="0"/>
  </sheetPr>
  <dimension ref="A1:E182"/>
  <sheetViews>
    <sheetView workbookViewId="0"/>
  </sheetViews>
  <sheetFormatPr defaultRowHeight="12.75" customHeight="1"/>
  <cols>
    <col min="1" max="1" width="29.85546875" customWidth="1"/>
    <col min="2" max="2" width="27" customWidth="1"/>
    <col min="3" max="3" width="56.28515625" customWidth="1"/>
    <col min="4" max="4" width="8.7109375" customWidth="1"/>
    <col min="5" max="5" width="255.7109375" customWidth="1"/>
  </cols>
  <sheetData>
    <row r="1" spans="1:5" ht="12.75" customHeight="1">
      <c r="A1" s="214" t="str">
        <f>"Capitalization Table"</f>
        <v>Capitalization Table</v>
      </c>
      <c r="B1" s="214"/>
      <c r="C1" s="214"/>
      <c r="D1" s="214"/>
    </row>
    <row r="2" spans="1:5" ht="12.75" customHeight="1">
      <c r="A2" s="214" t="str">
        <f>Inputs!B8</f>
        <v>ABC Corp.</v>
      </c>
      <c r="B2" s="214"/>
      <c r="C2" s="214"/>
      <c r="D2" s="214"/>
    </row>
    <row r="3" spans="1:5" ht="12.75" customHeight="1">
      <c r="A3" s="214" t="str">
        <f>IF("Formulas"="(Default Input)","Ignore this sheet in normal use.","Investment Scenario "&amp;1&amp;", Valuation Scenario "&amp;1)</f>
        <v>Investment Scenario 1, Valuation Scenario 1</v>
      </c>
      <c r="B3" s="214"/>
      <c r="C3" s="214"/>
      <c r="D3" s="214"/>
    </row>
    <row r="4" spans="1:5" ht="12.75" customHeight="1">
      <c r="A4" s="214" t="str">
        <f>" "</f>
        <v xml:space="preserve"> </v>
      </c>
      <c r="B4" s="214"/>
      <c r="C4" s="214"/>
      <c r="D4" s="214"/>
    </row>
    <row r="5" spans="1:5" ht="12.75" customHeight="1">
      <c r="A5" s="125" t="s">
        <v>228</v>
      </c>
      <c r="B5" s="125" t="s">
        <v>687</v>
      </c>
      <c r="C5" s="125" t="s">
        <v>290</v>
      </c>
      <c r="D5" s="125"/>
      <c r="E5" s="125" t="s">
        <v>588</v>
      </c>
    </row>
    <row r="6" spans="1:5" ht="12.75" customHeight="1">
      <c r="A6" s="126" t="s">
        <v>48</v>
      </c>
      <c r="B6" s="126" t="str">
        <f>Labels!B5</f>
        <v>Company Name</v>
      </c>
      <c r="C6" s="127"/>
      <c r="D6" s="128"/>
      <c r="E6" s="129"/>
    </row>
    <row r="7" spans="1:5" ht="12.75" customHeight="1">
      <c r="A7" s="43"/>
      <c r="B7" s="43"/>
      <c r="C7" s="130"/>
      <c r="D7" s="131"/>
      <c r="E7" s="43"/>
    </row>
    <row r="8" spans="1:5" ht="12.75" customHeight="1">
      <c r="A8" s="126" t="s">
        <v>202</v>
      </c>
      <c r="B8" s="126" t="str">
        <f>Labels!B6</f>
        <v>Default Conversion Decisions</v>
      </c>
      <c r="C8" s="127" t="s">
        <v>30</v>
      </c>
      <c r="D8" s="128" t="s">
        <v>669</v>
      </c>
      <c r="E8" s="129" t="s">
        <v>406</v>
      </c>
    </row>
    <row r="9" spans="1:5" ht="12.75" customHeight="1">
      <c r="A9" s="43"/>
      <c r="B9" s="43"/>
      <c r="C9" s="130"/>
      <c r="D9" s="131"/>
      <c r="E9" s="43"/>
    </row>
    <row r="10" spans="1:5" ht="12.75" customHeight="1">
      <c r="A10" s="126" t="s">
        <v>492</v>
      </c>
      <c r="B10" s="126" t="str">
        <f>Labels!B7</f>
        <v>Conversion Decisions Detail</v>
      </c>
      <c r="C10" s="127" t="s">
        <v>360</v>
      </c>
      <c r="D10" s="128" t="s">
        <v>669</v>
      </c>
      <c r="E10" s="129" t="s">
        <v>565</v>
      </c>
    </row>
    <row r="11" spans="1:5" ht="12.75" customHeight="1">
      <c r="A11" s="126"/>
      <c r="B11" s="126"/>
      <c r="C11" s="127" t="s">
        <v>28</v>
      </c>
      <c r="D11" s="128" t="s">
        <v>669</v>
      </c>
      <c r="E11" s="129" t="s">
        <v>317</v>
      </c>
    </row>
    <row r="12" spans="1:5" ht="12.75" customHeight="1">
      <c r="A12" s="126"/>
      <c r="B12" s="126"/>
      <c r="C12" s="127" t="s">
        <v>321</v>
      </c>
      <c r="D12" s="128" t="s">
        <v>669</v>
      </c>
      <c r="E12" s="129" t="s">
        <v>177</v>
      </c>
    </row>
    <row r="13" spans="1:5" ht="12.75" customHeight="1">
      <c r="A13" s="126"/>
      <c r="B13" s="126"/>
      <c r="C13" s="127" t="s">
        <v>594</v>
      </c>
      <c r="D13" s="128" t="s">
        <v>669</v>
      </c>
      <c r="E13" s="129" t="s">
        <v>200</v>
      </c>
    </row>
    <row r="14" spans="1:5" ht="12.75" customHeight="1">
      <c r="A14" s="126"/>
      <c r="B14" s="126"/>
      <c r="C14" s="127" t="s">
        <v>136</v>
      </c>
      <c r="D14" s="128" t="s">
        <v>669</v>
      </c>
      <c r="E14" s="129" t="s">
        <v>565</v>
      </c>
    </row>
    <row r="15" spans="1:5" ht="12.75" customHeight="1">
      <c r="A15" s="126"/>
      <c r="B15" s="126"/>
      <c r="C15" s="127" t="s">
        <v>245</v>
      </c>
      <c r="D15" s="128" t="s">
        <v>669</v>
      </c>
      <c r="E15" s="129" t="s">
        <v>200</v>
      </c>
    </row>
    <row r="16" spans="1:5" ht="12.75" customHeight="1">
      <c r="A16" s="126"/>
      <c r="B16" s="126"/>
      <c r="C16" s="127" t="s">
        <v>431</v>
      </c>
      <c r="D16" s="128" t="s">
        <v>669</v>
      </c>
      <c r="E16" s="129" t="s">
        <v>263</v>
      </c>
    </row>
    <row r="17" spans="1:5" ht="12.75" customHeight="1">
      <c r="A17" s="126"/>
      <c r="B17" s="126"/>
      <c r="C17" s="127" t="s">
        <v>608</v>
      </c>
      <c r="D17" s="128" t="s">
        <v>669</v>
      </c>
      <c r="E17" s="129" t="s">
        <v>201</v>
      </c>
    </row>
    <row r="18" spans="1:5" ht="12.75" customHeight="1">
      <c r="A18" s="126"/>
      <c r="B18" s="126"/>
      <c r="C18" s="127" t="s">
        <v>208</v>
      </c>
      <c r="D18" s="128" t="s">
        <v>365</v>
      </c>
      <c r="E18" s="129" t="s">
        <v>312</v>
      </c>
    </row>
    <row r="19" spans="1:5" ht="12.75" customHeight="1">
      <c r="A19" s="126"/>
      <c r="B19" s="126"/>
      <c r="C19" s="127" t="s">
        <v>481</v>
      </c>
      <c r="D19" s="128" t="s">
        <v>365</v>
      </c>
      <c r="E19" s="129" t="s">
        <v>554</v>
      </c>
    </row>
    <row r="20" spans="1:5" ht="12.75" customHeight="1">
      <c r="A20" s="43"/>
      <c r="B20" s="43"/>
      <c r="C20" s="130"/>
      <c r="D20" s="131"/>
      <c r="E20" s="43"/>
    </row>
    <row r="21" spans="1:5" ht="12.75" customHeight="1">
      <c r="A21" s="126" t="s">
        <v>596</v>
      </c>
      <c r="B21" s="126" t="str">
        <f>Labels!B8</f>
        <v>Conversion Liq Premium %</v>
      </c>
      <c r="C21" s="127"/>
      <c r="D21" s="128"/>
      <c r="E21" s="129"/>
    </row>
    <row r="22" spans="1:5" ht="12.75" customHeight="1">
      <c r="A22" s="43"/>
      <c r="B22" s="43"/>
      <c r="C22" s="130"/>
      <c r="D22" s="131"/>
      <c r="E22" s="43"/>
    </row>
    <row r="23" spans="1:5" ht="12.75" customHeight="1">
      <c r="A23" s="126" t="s">
        <v>89</v>
      </c>
      <c r="B23" s="126" t="str">
        <f>Labels!B9</f>
        <v>Conversion Trigger Date</v>
      </c>
      <c r="C23" s="127"/>
      <c r="D23" s="128"/>
      <c r="E23" s="129"/>
    </row>
    <row r="24" spans="1:5" ht="12.75" customHeight="1">
      <c r="A24" s="43"/>
      <c r="B24" s="43"/>
      <c r="C24" s="130"/>
      <c r="D24" s="131"/>
      <c r="E24" s="43"/>
    </row>
    <row r="25" spans="1:5" ht="12.75" customHeight="1">
      <c r="A25" s="126" t="s">
        <v>26</v>
      </c>
      <c r="B25" s="126" t="str">
        <f>Labels!B10</f>
        <v>Convert Trigger Invest</v>
      </c>
      <c r="C25" s="127"/>
      <c r="D25" s="128"/>
      <c r="E25" s="129"/>
    </row>
    <row r="26" spans="1:5" ht="12.75" customHeight="1">
      <c r="A26" s="43"/>
      <c r="B26" s="43"/>
      <c r="C26" s="130"/>
      <c r="D26" s="131"/>
      <c r="E26" s="43"/>
    </row>
    <row r="27" spans="1:5" ht="12.75" customHeight="1">
      <c r="A27" s="126" t="s">
        <v>476</v>
      </c>
      <c r="B27" s="126" t="str">
        <f>Labels!B11</f>
        <v>Conversion Trigger Value %</v>
      </c>
      <c r="C27" s="127"/>
      <c r="D27" s="128"/>
      <c r="E27" s="129"/>
    </row>
    <row r="28" spans="1:5" ht="12.75" customHeight="1">
      <c r="A28" s="43"/>
      <c r="B28" s="43"/>
      <c r="C28" s="130"/>
      <c r="D28" s="131"/>
      <c r="E28" s="43"/>
    </row>
    <row r="29" spans="1:5" ht="12.75" customHeight="1">
      <c r="A29" s="126" t="s">
        <v>451</v>
      </c>
      <c r="B29" s="126" t="str">
        <f>Labels!B12</f>
        <v>% Converting</v>
      </c>
      <c r="C29" s="127" t="s">
        <v>30</v>
      </c>
      <c r="D29" s="128" t="s">
        <v>669</v>
      </c>
      <c r="E29" s="129" t="s">
        <v>202</v>
      </c>
    </row>
    <row r="30" spans="1:5" ht="12.75" customHeight="1">
      <c r="A30" s="43"/>
      <c r="B30" s="43"/>
      <c r="C30" s="130"/>
      <c r="D30" s="131"/>
      <c r="E30" s="43"/>
    </row>
    <row r="31" spans="1:5" ht="12.75" customHeight="1">
      <c r="A31" s="126" t="s">
        <v>100</v>
      </c>
      <c r="B31" s="126" t="str">
        <f>Labels!B13</f>
        <v>Note Conversion Discount %</v>
      </c>
      <c r="C31" s="127"/>
      <c r="D31" s="128"/>
      <c r="E31" s="129"/>
    </row>
    <row r="32" spans="1:5" ht="12.75" customHeight="1">
      <c r="A32" s="43"/>
      <c r="B32" s="43"/>
      <c r="C32" s="130"/>
      <c r="D32" s="131"/>
      <c r="E32" s="43"/>
    </row>
    <row r="33" spans="1:5" ht="12.75" customHeight="1">
      <c r="A33" s="126" t="s">
        <v>215</v>
      </c>
      <c r="B33" s="126" t="str">
        <f>Labels!B14</f>
        <v>Discount Rate (Yr)</v>
      </c>
      <c r="C33" s="127" t="s">
        <v>384</v>
      </c>
      <c r="D33" s="128" t="s">
        <v>365</v>
      </c>
      <c r="E33" s="129" t="s">
        <v>123</v>
      </c>
    </row>
    <row r="34" spans="1:5" ht="12.75" customHeight="1">
      <c r="A34" s="43"/>
      <c r="B34" s="43"/>
      <c r="C34" s="130"/>
      <c r="D34" s="131"/>
      <c r="E34" s="43"/>
    </row>
    <row r="35" spans="1:5" ht="12.75" customHeight="1">
      <c r="A35" s="126" t="s">
        <v>259</v>
      </c>
      <c r="B35" s="126" t="str">
        <f>Labels!B15</f>
        <v>Dividend</v>
      </c>
      <c r="C35" s="127" t="s">
        <v>430</v>
      </c>
      <c r="D35" s="128" t="s">
        <v>669</v>
      </c>
      <c r="E35" s="129" t="s">
        <v>308</v>
      </c>
    </row>
    <row r="36" spans="1:5" ht="12.75" customHeight="1">
      <c r="A36" s="126"/>
      <c r="B36" s="126"/>
      <c r="C36" s="127" t="s">
        <v>30</v>
      </c>
      <c r="D36" s="128" t="s">
        <v>669</v>
      </c>
      <c r="E36" s="129" t="s">
        <v>616</v>
      </c>
    </row>
    <row r="37" spans="1:5" ht="12.75" customHeight="1">
      <c r="A37" s="43"/>
      <c r="B37" s="43"/>
      <c r="C37" s="130"/>
      <c r="D37" s="131"/>
      <c r="E37" s="43"/>
    </row>
    <row r="38" spans="1:5" ht="12.75" customHeight="1">
      <c r="A38" s="126" t="s">
        <v>253</v>
      </c>
      <c r="B38" s="126" t="str">
        <f>Labels!B16</f>
        <v>Dividend by Origin</v>
      </c>
      <c r="C38" s="127" t="s">
        <v>430</v>
      </c>
      <c r="D38" s="128" t="s">
        <v>669</v>
      </c>
      <c r="E38" s="129" t="s">
        <v>624</v>
      </c>
    </row>
    <row r="39" spans="1:5" ht="12.75" customHeight="1">
      <c r="A39" s="126"/>
      <c r="B39" s="126"/>
      <c r="C39" s="127" t="s">
        <v>30</v>
      </c>
      <c r="D39" s="128" t="s">
        <v>669</v>
      </c>
      <c r="E39" s="129" t="s">
        <v>665</v>
      </c>
    </row>
    <row r="40" spans="1:5" ht="12.75" customHeight="1">
      <c r="A40" s="43"/>
      <c r="B40" s="43"/>
      <c r="C40" s="130"/>
      <c r="D40" s="131"/>
      <c r="E40" s="43"/>
    </row>
    <row r="41" spans="1:5" ht="12.75" customHeight="1">
      <c r="A41" s="126" t="s">
        <v>308</v>
      </c>
      <c r="B41" s="126" t="str">
        <f>Labels!B17</f>
        <v>Dividend Common</v>
      </c>
      <c r="C41" s="127"/>
      <c r="D41" s="128"/>
      <c r="E41" s="129"/>
    </row>
    <row r="42" spans="1:5" ht="12.75" customHeight="1">
      <c r="A42" s="43"/>
      <c r="B42" s="43"/>
      <c r="C42" s="130"/>
      <c r="D42" s="131"/>
      <c r="E42" s="43"/>
    </row>
    <row r="43" spans="1:5" ht="12.75" customHeight="1">
      <c r="A43" s="126" t="s">
        <v>221</v>
      </c>
      <c r="B43" s="126" t="str">
        <f>Labels!B18</f>
        <v>Dividend % (Yr)</v>
      </c>
      <c r="C43" s="127"/>
      <c r="D43" s="128"/>
      <c r="E43" s="129"/>
    </row>
    <row r="44" spans="1:5" ht="12.75" customHeight="1">
      <c r="A44" s="43"/>
      <c r="B44" s="43"/>
      <c r="C44" s="130"/>
      <c r="D44" s="131"/>
      <c r="E44" s="43"/>
    </row>
    <row r="45" spans="1:5" ht="12.75" customHeight="1">
      <c r="A45" s="126" t="s">
        <v>182</v>
      </c>
      <c r="B45" s="126" t="str">
        <f>Labels!B19</f>
        <v>Event Date</v>
      </c>
      <c r="C45" s="127" t="s">
        <v>420</v>
      </c>
      <c r="D45" s="128" t="s">
        <v>669</v>
      </c>
      <c r="E45" s="129" t="s">
        <v>371</v>
      </c>
    </row>
    <row r="46" spans="1:5" ht="12.75" customHeight="1">
      <c r="A46" s="43"/>
      <c r="B46" s="43"/>
      <c r="C46" s="130"/>
      <c r="D46" s="131"/>
      <c r="E46" s="43"/>
    </row>
    <row r="47" spans="1:5" ht="12.75" customHeight="1">
      <c r="A47" s="126" t="s">
        <v>371</v>
      </c>
      <c r="B47" s="126" t="str">
        <f>Labels!B20</f>
        <v>Event Date</v>
      </c>
      <c r="C47" s="127" t="s">
        <v>420</v>
      </c>
      <c r="D47" s="128" t="s">
        <v>669</v>
      </c>
      <c r="E47" s="129" t="s">
        <v>333</v>
      </c>
    </row>
    <row r="48" spans="1:5" ht="12.75" customHeight="1">
      <c r="A48" s="43"/>
      <c r="B48" s="43"/>
      <c r="C48" s="130"/>
      <c r="D48" s="131"/>
      <c r="E48" s="43"/>
    </row>
    <row r="49" spans="1:5" ht="12.75" customHeight="1">
      <c r="A49" s="126" t="s">
        <v>169</v>
      </c>
      <c r="B49" s="126" t="str">
        <f>Labels!B21</f>
        <v>Firm Value</v>
      </c>
      <c r="C49" s="127" t="s">
        <v>91</v>
      </c>
      <c r="D49" s="128" t="s">
        <v>669</v>
      </c>
      <c r="E49" s="129" t="s">
        <v>252</v>
      </c>
    </row>
    <row r="50" spans="1:5" ht="12.75" customHeight="1">
      <c r="A50" s="126"/>
      <c r="B50" s="126"/>
      <c r="C50" s="127" t="s">
        <v>77</v>
      </c>
      <c r="D50" s="128" t="s">
        <v>669</v>
      </c>
      <c r="E50" s="129" t="s">
        <v>305</v>
      </c>
    </row>
    <row r="51" spans="1:5" ht="12.75" customHeight="1">
      <c r="A51" s="126"/>
      <c r="B51" s="126"/>
      <c r="C51" s="127" t="s">
        <v>328</v>
      </c>
      <c r="D51" s="128" t="s">
        <v>669</v>
      </c>
      <c r="E51" s="129" t="s">
        <v>619</v>
      </c>
    </row>
    <row r="52" spans="1:5" ht="12.75" customHeight="1">
      <c r="A52" s="126"/>
      <c r="B52" s="126"/>
      <c r="C52" s="127" t="s">
        <v>309</v>
      </c>
      <c r="D52" s="128" t="s">
        <v>669</v>
      </c>
      <c r="E52" s="129" t="s">
        <v>74</v>
      </c>
    </row>
    <row r="53" spans="1:5" ht="12.75" customHeight="1">
      <c r="A53" s="126"/>
      <c r="B53" s="126"/>
      <c r="C53" s="127" t="s">
        <v>658</v>
      </c>
      <c r="D53" s="128" t="s">
        <v>669</v>
      </c>
      <c r="E53" s="129" t="s">
        <v>540</v>
      </c>
    </row>
    <row r="54" spans="1:5" ht="12.75" customHeight="1">
      <c r="A54" s="43"/>
      <c r="B54" s="43"/>
      <c r="C54" s="130"/>
      <c r="D54" s="131"/>
      <c r="E54" s="43"/>
    </row>
    <row r="55" spans="1:5" ht="12.75" customHeight="1">
      <c r="A55" s="126" t="s">
        <v>74</v>
      </c>
      <c r="B55" s="126" t="str">
        <f>Labels!B22</f>
        <v>Firm Value Start</v>
      </c>
      <c r="C55" s="127" t="s">
        <v>420</v>
      </c>
      <c r="D55" s="128" t="s">
        <v>669</v>
      </c>
      <c r="E55" s="129" t="s">
        <v>395</v>
      </c>
    </row>
    <row r="56" spans="1:5" ht="12.75" customHeight="1">
      <c r="A56" s="43"/>
      <c r="B56" s="43"/>
      <c r="C56" s="130"/>
      <c r="D56" s="131"/>
      <c r="E56" s="43"/>
    </row>
    <row r="57" spans="1:5" ht="12.75" customHeight="1">
      <c r="A57" s="126" t="s">
        <v>395</v>
      </c>
      <c r="B57" s="126" t="str">
        <f>Labels!B23</f>
        <v>Firm Value</v>
      </c>
      <c r="C57" s="127" t="s">
        <v>420</v>
      </c>
      <c r="D57" s="128" t="s">
        <v>669</v>
      </c>
      <c r="E57" s="129" t="s">
        <v>174</v>
      </c>
    </row>
    <row r="58" spans="1:5" ht="12.75" customHeight="1">
      <c r="A58" s="43"/>
      <c r="B58" s="43"/>
      <c r="C58" s="130"/>
      <c r="D58" s="131"/>
      <c r="E58" s="43"/>
    </row>
    <row r="59" spans="1:5" ht="12.75" customHeight="1">
      <c r="A59" s="126" t="s">
        <v>666</v>
      </c>
      <c r="B59" s="126" t="str">
        <f>Labels!B24</f>
        <v>Invest by Origin ex-Dividend</v>
      </c>
      <c r="C59" s="127" t="s">
        <v>301</v>
      </c>
      <c r="D59" s="128" t="s">
        <v>669</v>
      </c>
      <c r="E59" s="129" t="s">
        <v>224</v>
      </c>
    </row>
    <row r="60" spans="1:5" ht="12.75" customHeight="1">
      <c r="A60" s="126"/>
      <c r="B60" s="126"/>
      <c r="C60" s="127" t="s">
        <v>293</v>
      </c>
      <c r="D60" s="128" t="s">
        <v>669</v>
      </c>
      <c r="E60" s="129" t="s">
        <v>255</v>
      </c>
    </row>
    <row r="61" spans="1:5" ht="12.75" customHeight="1">
      <c r="A61" s="126"/>
      <c r="B61" s="126"/>
      <c r="C61" s="127" t="s">
        <v>295</v>
      </c>
      <c r="D61" s="128" t="s">
        <v>669</v>
      </c>
      <c r="E61" s="129" t="s">
        <v>632</v>
      </c>
    </row>
    <row r="62" spans="1:5" ht="12.75" customHeight="1">
      <c r="A62" s="126"/>
      <c r="B62" s="126"/>
      <c r="C62" s="127" t="s">
        <v>211</v>
      </c>
      <c r="D62" s="128" t="s">
        <v>669</v>
      </c>
      <c r="E62" s="129" t="s">
        <v>632</v>
      </c>
    </row>
    <row r="63" spans="1:5" ht="12.75" customHeight="1">
      <c r="A63" s="126"/>
      <c r="B63" s="126"/>
      <c r="C63" s="127" t="s">
        <v>520</v>
      </c>
      <c r="D63" s="128" t="s">
        <v>669</v>
      </c>
      <c r="E63" s="129" t="s">
        <v>572</v>
      </c>
    </row>
    <row r="64" spans="1:5" ht="12.75" customHeight="1">
      <c r="A64" s="43"/>
      <c r="B64" s="43"/>
      <c r="C64" s="130"/>
      <c r="D64" s="131"/>
      <c r="E64" s="43"/>
    </row>
    <row r="65" spans="1:5" ht="12.75" customHeight="1">
      <c r="A65" s="126" t="s">
        <v>205</v>
      </c>
      <c r="B65" s="126" t="str">
        <f>Labels!B25</f>
        <v>Invest by Origin ex-Dividend</v>
      </c>
      <c r="C65" s="127" t="s">
        <v>125</v>
      </c>
      <c r="D65" s="128" t="s">
        <v>669</v>
      </c>
      <c r="E65" s="129" t="s">
        <v>548</v>
      </c>
    </row>
    <row r="66" spans="1:5" ht="12.75" customHeight="1">
      <c r="A66" s="43"/>
      <c r="B66" s="43"/>
      <c r="C66" s="130"/>
      <c r="D66" s="131"/>
      <c r="E66" s="43"/>
    </row>
    <row r="67" spans="1:5" ht="12.75" customHeight="1">
      <c r="A67" s="126" t="s">
        <v>632</v>
      </c>
      <c r="B67" s="126" t="str">
        <f>Labels!B26</f>
        <v>Investment by Origin</v>
      </c>
      <c r="C67" s="127" t="s">
        <v>210</v>
      </c>
      <c r="D67" s="128" t="s">
        <v>669</v>
      </c>
      <c r="E67" s="129" t="s">
        <v>305</v>
      </c>
    </row>
    <row r="68" spans="1:5" ht="12.75" customHeight="1">
      <c r="A68" s="126"/>
      <c r="B68" s="126"/>
      <c r="C68" s="127" t="s">
        <v>266</v>
      </c>
      <c r="D68" s="128" t="s">
        <v>669</v>
      </c>
      <c r="E68" s="129" t="s">
        <v>305</v>
      </c>
    </row>
    <row r="69" spans="1:5" ht="12.75" customHeight="1">
      <c r="A69" s="126"/>
      <c r="B69" s="126"/>
      <c r="C69" s="127" t="s">
        <v>295</v>
      </c>
      <c r="D69" s="128" t="s">
        <v>669</v>
      </c>
      <c r="E69" s="129" t="s">
        <v>540</v>
      </c>
    </row>
    <row r="70" spans="1:5" ht="12.75" customHeight="1">
      <c r="A70" s="126"/>
      <c r="B70" s="126"/>
      <c r="C70" s="127" t="s">
        <v>293</v>
      </c>
      <c r="D70" s="128" t="s">
        <v>669</v>
      </c>
      <c r="E70" s="129" t="s">
        <v>519</v>
      </c>
    </row>
    <row r="71" spans="1:5" ht="12.75" customHeight="1">
      <c r="A71" s="126"/>
      <c r="B71" s="126"/>
      <c r="C71" s="127" t="s">
        <v>520</v>
      </c>
      <c r="D71" s="128" t="s">
        <v>669</v>
      </c>
      <c r="E71" s="129" t="s">
        <v>640</v>
      </c>
    </row>
    <row r="72" spans="1:5" ht="12.75" customHeight="1">
      <c r="A72" s="126"/>
      <c r="B72" s="126"/>
      <c r="C72" s="127" t="s">
        <v>301</v>
      </c>
      <c r="D72" s="128" t="s">
        <v>669</v>
      </c>
      <c r="E72" s="129" t="s">
        <v>199</v>
      </c>
    </row>
    <row r="73" spans="1:5" ht="12.75" customHeight="1">
      <c r="A73" s="43"/>
      <c r="B73" s="43"/>
      <c r="C73" s="130"/>
      <c r="D73" s="131"/>
      <c r="E73" s="43"/>
    </row>
    <row r="74" spans="1:5" ht="12.75" customHeight="1">
      <c r="A74" s="126" t="s">
        <v>540</v>
      </c>
      <c r="B74" s="126" t="str">
        <f>Labels!B27</f>
        <v>Net Investment</v>
      </c>
      <c r="C74" s="127" t="s">
        <v>165</v>
      </c>
      <c r="D74" s="128" t="s">
        <v>669</v>
      </c>
      <c r="E74" s="129" t="s">
        <v>491</v>
      </c>
    </row>
    <row r="75" spans="1:5" ht="12.75" customHeight="1">
      <c r="A75" s="126"/>
      <c r="B75" s="126"/>
      <c r="C75" s="127" t="s">
        <v>454</v>
      </c>
      <c r="D75" s="128" t="s">
        <v>669</v>
      </c>
      <c r="E75" s="129" t="s">
        <v>458</v>
      </c>
    </row>
    <row r="76" spans="1:5" ht="12.75" customHeight="1">
      <c r="A76" s="126"/>
      <c r="B76" s="126"/>
      <c r="C76" s="127" t="s">
        <v>268</v>
      </c>
      <c r="D76" s="128" t="s">
        <v>669</v>
      </c>
      <c r="E76" s="129" t="s">
        <v>458</v>
      </c>
    </row>
    <row r="77" spans="1:5" ht="12.75" customHeight="1">
      <c r="A77" s="126"/>
      <c r="B77" s="126"/>
      <c r="C77" s="127" t="s">
        <v>301</v>
      </c>
      <c r="D77" s="128" t="s">
        <v>669</v>
      </c>
      <c r="E77" s="129" t="s">
        <v>570</v>
      </c>
    </row>
    <row r="78" spans="1:5" ht="12.75" customHeight="1">
      <c r="A78" s="126"/>
      <c r="B78" s="126"/>
      <c r="C78" s="127" t="s">
        <v>293</v>
      </c>
      <c r="D78" s="128" t="s">
        <v>669</v>
      </c>
      <c r="E78" s="129" t="s">
        <v>151</v>
      </c>
    </row>
    <row r="79" spans="1:5" ht="12.75" customHeight="1">
      <c r="A79" s="126"/>
      <c r="B79" s="126"/>
      <c r="C79" s="127" t="s">
        <v>520</v>
      </c>
      <c r="D79" s="128" t="s">
        <v>669</v>
      </c>
      <c r="E79" s="129" t="s">
        <v>20</v>
      </c>
    </row>
    <row r="80" spans="1:5" ht="12.75" customHeight="1">
      <c r="A80" s="126"/>
      <c r="B80" s="126"/>
      <c r="C80" s="127" t="s">
        <v>295</v>
      </c>
      <c r="D80" s="128" t="s">
        <v>669</v>
      </c>
      <c r="E80" s="129" t="s">
        <v>120</v>
      </c>
    </row>
    <row r="81" spans="1:5" ht="12.75" customHeight="1">
      <c r="A81" s="126"/>
      <c r="B81" s="126"/>
      <c r="C81" s="127" t="s">
        <v>211</v>
      </c>
      <c r="D81" s="128" t="s">
        <v>669</v>
      </c>
      <c r="E81" s="129" t="s">
        <v>387</v>
      </c>
    </row>
    <row r="82" spans="1:5" ht="12.75" customHeight="1">
      <c r="A82" s="43"/>
      <c r="B82" s="43"/>
      <c r="C82" s="130"/>
      <c r="D82" s="131"/>
      <c r="E82" s="43"/>
    </row>
    <row r="83" spans="1:5" ht="12.75" customHeight="1">
      <c r="A83" s="126" t="s">
        <v>120</v>
      </c>
      <c r="B83" s="126" t="str">
        <f>Labels!B28</f>
        <v>New Investment</v>
      </c>
      <c r="C83" s="127" t="s">
        <v>30</v>
      </c>
      <c r="D83" s="128" t="s">
        <v>669</v>
      </c>
      <c r="E83" s="129" t="s">
        <v>503</v>
      </c>
    </row>
    <row r="84" spans="1:5" ht="12.75" customHeight="1">
      <c r="A84" s="43"/>
      <c r="B84" s="43"/>
      <c r="C84" s="130"/>
      <c r="D84" s="131"/>
      <c r="E84" s="43"/>
    </row>
    <row r="85" spans="1:5" ht="12.75" customHeight="1">
      <c r="A85" s="126" t="s">
        <v>503</v>
      </c>
      <c r="B85" s="126" t="str">
        <f>Labels!B29</f>
        <v>New Investment</v>
      </c>
      <c r="C85" s="127" t="s">
        <v>30</v>
      </c>
      <c r="D85" s="128" t="s">
        <v>669</v>
      </c>
      <c r="E85" s="129" t="s">
        <v>404</v>
      </c>
    </row>
    <row r="86" spans="1:5" ht="12.75" customHeight="1">
      <c r="A86" s="43"/>
      <c r="B86" s="43"/>
      <c r="C86" s="130"/>
      <c r="D86" s="131"/>
      <c r="E86" s="43"/>
    </row>
    <row r="87" spans="1:5" ht="12.75" customHeight="1">
      <c r="A87" s="126" t="s">
        <v>422</v>
      </c>
      <c r="B87" s="126" t="str">
        <f>Labels!B30</f>
        <v>Cash Flow</v>
      </c>
      <c r="C87" s="127" t="s">
        <v>610</v>
      </c>
      <c r="D87" s="128" t="s">
        <v>669</v>
      </c>
      <c r="E87" s="129" t="s">
        <v>488</v>
      </c>
    </row>
    <row r="88" spans="1:5" ht="12.75" customHeight="1">
      <c r="A88" s="126"/>
      <c r="B88" s="126"/>
      <c r="C88" s="127"/>
      <c r="D88" s="128" t="s">
        <v>365</v>
      </c>
      <c r="E88" s="129" t="s">
        <v>352</v>
      </c>
    </row>
    <row r="89" spans="1:5" ht="12.75" customHeight="1">
      <c r="A89" s="43"/>
      <c r="B89" s="43"/>
      <c r="C89" s="130"/>
      <c r="D89" s="131"/>
      <c r="E89" s="43"/>
    </row>
    <row r="90" spans="1:5" ht="12.75" customHeight="1">
      <c r="A90" s="126" t="s">
        <v>482</v>
      </c>
      <c r="B90" s="126" t="str">
        <f>Labels!B31</f>
        <v>IRR Initial Guess (Yr)</v>
      </c>
      <c r="C90" s="127"/>
      <c r="D90" s="128"/>
      <c r="E90" s="129"/>
    </row>
    <row r="91" spans="1:5" ht="12.75" customHeight="1">
      <c r="A91" s="43"/>
      <c r="B91" s="43"/>
      <c r="C91" s="130"/>
      <c r="D91" s="131"/>
      <c r="E91" s="43"/>
    </row>
    <row r="92" spans="1:5" ht="12.75" customHeight="1">
      <c r="A92" s="126" t="s">
        <v>198</v>
      </c>
      <c r="B92" s="126" t="str">
        <f>Labels!B32</f>
        <v>IRR (Yr)</v>
      </c>
      <c r="C92" s="127" t="s">
        <v>384</v>
      </c>
      <c r="D92" s="128" t="s">
        <v>365</v>
      </c>
      <c r="E92" s="129" t="s">
        <v>320</v>
      </c>
    </row>
    <row r="93" spans="1:5" ht="12.75" customHeight="1">
      <c r="A93" s="43"/>
      <c r="B93" s="43"/>
      <c r="C93" s="130"/>
      <c r="D93" s="131"/>
      <c r="E93" s="43"/>
    </row>
    <row r="94" spans="1:5" ht="12.75" customHeight="1">
      <c r="A94" s="126" t="s">
        <v>238</v>
      </c>
      <c r="B94" s="126" t="str">
        <f>Labels!B33</f>
        <v>Liq Multiple</v>
      </c>
      <c r="C94" s="127"/>
      <c r="D94" s="128"/>
      <c r="E94" s="129"/>
    </row>
    <row r="95" spans="1:5" ht="12.75" customHeight="1">
      <c r="A95" s="43"/>
      <c r="B95" s="43"/>
      <c r="C95" s="130"/>
      <c r="D95" s="131"/>
      <c r="E95" s="43"/>
    </row>
    <row r="96" spans="1:5" ht="12.75" customHeight="1">
      <c r="A96" s="126" t="s">
        <v>336</v>
      </c>
      <c r="B96" s="126" t="str">
        <f>Labels!B34</f>
        <v>Liquidation Preference</v>
      </c>
      <c r="C96" s="127" t="s">
        <v>30</v>
      </c>
      <c r="D96" s="128" t="s">
        <v>669</v>
      </c>
      <c r="E96" s="129" t="s">
        <v>575</v>
      </c>
    </row>
    <row r="97" spans="1:5" ht="12.75" customHeight="1">
      <c r="A97" s="43"/>
      <c r="B97" s="43"/>
      <c r="C97" s="130"/>
      <c r="D97" s="131"/>
      <c r="E97" s="43"/>
    </row>
    <row r="98" spans="1:5" ht="12.75" customHeight="1">
      <c r="A98" s="126" t="s">
        <v>635</v>
      </c>
      <c r="B98" s="126" t="str">
        <f>Labels!B35</f>
        <v>Liq Preference New</v>
      </c>
      <c r="C98" s="127" t="s">
        <v>30</v>
      </c>
      <c r="D98" s="128" t="s">
        <v>669</v>
      </c>
      <c r="E98" s="129" t="s">
        <v>356</v>
      </c>
    </row>
    <row r="99" spans="1:5" ht="12.75" customHeight="1">
      <c r="A99" s="43"/>
      <c r="B99" s="43"/>
      <c r="C99" s="130"/>
      <c r="D99" s="131"/>
      <c r="E99" s="43"/>
    </row>
    <row r="100" spans="1:5" ht="12.75" customHeight="1">
      <c r="A100" s="126" t="s">
        <v>368</v>
      </c>
      <c r="B100" s="126" t="str">
        <f>Labels!B36</f>
        <v>Net Present Value</v>
      </c>
      <c r="C100" s="127" t="s">
        <v>384</v>
      </c>
      <c r="D100" s="128" t="s">
        <v>669</v>
      </c>
      <c r="E100" s="129" t="s">
        <v>35</v>
      </c>
    </row>
    <row r="101" spans="1:5" ht="12.75" customHeight="1">
      <c r="A101" s="43"/>
      <c r="B101" s="43"/>
      <c r="C101" s="130"/>
      <c r="D101" s="131"/>
      <c r="E101" s="43"/>
    </row>
    <row r="102" spans="1:5" ht="12.75" customHeight="1">
      <c r="A102" s="126" t="s">
        <v>517</v>
      </c>
      <c r="B102" s="126" t="str">
        <f>Labels!B37</f>
        <v>Exercise Amt</v>
      </c>
      <c r="C102" s="127" t="s">
        <v>293</v>
      </c>
      <c r="D102" s="128" t="s">
        <v>669</v>
      </c>
      <c r="E102" s="129" t="s">
        <v>622</v>
      </c>
    </row>
    <row r="103" spans="1:5" ht="12.75" customHeight="1">
      <c r="A103" s="126"/>
      <c r="B103" s="126"/>
      <c r="C103" s="127" t="s">
        <v>301</v>
      </c>
      <c r="D103" s="128" t="s">
        <v>669</v>
      </c>
      <c r="E103" s="129" t="s">
        <v>172</v>
      </c>
    </row>
    <row r="104" spans="1:5" ht="12.75" customHeight="1">
      <c r="A104" s="126"/>
      <c r="B104" s="126"/>
      <c r="C104" s="127" t="s">
        <v>295</v>
      </c>
      <c r="D104" s="128" t="s">
        <v>669</v>
      </c>
      <c r="E104" s="129" t="s">
        <v>9</v>
      </c>
    </row>
    <row r="105" spans="1:5" ht="12.75" customHeight="1">
      <c r="A105" s="126"/>
      <c r="B105" s="126"/>
      <c r="C105" s="127" t="s">
        <v>520</v>
      </c>
      <c r="D105" s="128" t="s">
        <v>669</v>
      </c>
      <c r="E105" s="129" t="s">
        <v>511</v>
      </c>
    </row>
    <row r="106" spans="1:5" ht="12.75" customHeight="1">
      <c r="A106" s="126"/>
      <c r="B106" s="126"/>
      <c r="C106" s="127" t="s">
        <v>211</v>
      </c>
      <c r="D106" s="128" t="s">
        <v>669</v>
      </c>
      <c r="E106" s="129" t="s">
        <v>642</v>
      </c>
    </row>
    <row r="107" spans="1:5" ht="12.75" customHeight="1">
      <c r="A107" s="43"/>
      <c r="B107" s="43"/>
      <c r="C107" s="130"/>
      <c r="D107" s="131"/>
      <c r="E107" s="43"/>
    </row>
    <row r="108" spans="1:5" ht="12.75" customHeight="1">
      <c r="A108" s="126" t="s">
        <v>284</v>
      </c>
      <c r="B108" s="126" t="str">
        <f>Labels!B38</f>
        <v>Exercise Price</v>
      </c>
      <c r="C108" s="127"/>
      <c r="D108" s="128"/>
      <c r="E108" s="129"/>
    </row>
    <row r="109" spans="1:5" ht="12.75" customHeight="1">
      <c r="A109" s="43"/>
      <c r="B109" s="43"/>
      <c r="C109" s="130"/>
      <c r="D109" s="131"/>
      <c r="E109" s="43"/>
    </row>
    <row r="110" spans="1:5" ht="12.75" customHeight="1">
      <c r="A110" s="126" t="s">
        <v>71</v>
      </c>
      <c r="B110" s="126" t="str">
        <f>Labels!B39</f>
        <v>Units 'in the Money'</v>
      </c>
      <c r="C110" s="127" t="s">
        <v>239</v>
      </c>
      <c r="D110" s="128" t="s">
        <v>669</v>
      </c>
      <c r="E110" s="129" t="s">
        <v>78</v>
      </c>
    </row>
    <row r="111" spans="1:5" ht="12.75" customHeight="1">
      <c r="A111" s="126"/>
      <c r="B111" s="126"/>
      <c r="C111" s="127" t="s">
        <v>682</v>
      </c>
      <c r="D111" s="128" t="s">
        <v>669</v>
      </c>
      <c r="E111" s="129" t="s">
        <v>78</v>
      </c>
    </row>
    <row r="112" spans="1:5" ht="12.75" customHeight="1">
      <c r="A112" s="43"/>
      <c r="B112" s="43"/>
      <c r="C112" s="130"/>
      <c r="D112" s="131"/>
      <c r="E112" s="43"/>
    </row>
    <row r="113" spans="1:5" ht="12.75" customHeight="1">
      <c r="A113" s="126" t="s">
        <v>144</v>
      </c>
      <c r="B113" s="126" t="str">
        <f>Labels!B40</f>
        <v>Payout by Origin</v>
      </c>
      <c r="C113" s="127" t="s">
        <v>430</v>
      </c>
      <c r="D113" s="128" t="s">
        <v>669</v>
      </c>
      <c r="E113" s="129" t="s">
        <v>686</v>
      </c>
    </row>
    <row r="114" spans="1:5" ht="12.75" customHeight="1">
      <c r="A114" s="126"/>
      <c r="B114" s="126"/>
      <c r="C114" s="127" t="s">
        <v>30</v>
      </c>
      <c r="D114" s="128" t="s">
        <v>669</v>
      </c>
      <c r="E114" s="129" t="s">
        <v>265</v>
      </c>
    </row>
    <row r="115" spans="1:5" ht="12.75" customHeight="1">
      <c r="A115" s="126"/>
      <c r="B115" s="126"/>
      <c r="C115" s="127"/>
      <c r="D115" s="128" t="s">
        <v>365</v>
      </c>
      <c r="E115" s="129" t="s">
        <v>32</v>
      </c>
    </row>
    <row r="116" spans="1:5" ht="12.75" customHeight="1">
      <c r="A116" s="43"/>
      <c r="B116" s="43"/>
      <c r="C116" s="130"/>
      <c r="D116" s="131"/>
      <c r="E116" s="43"/>
    </row>
    <row r="117" spans="1:5" ht="12.75" customHeight="1">
      <c r="A117" s="126" t="s">
        <v>73</v>
      </c>
      <c r="B117" s="126" t="str">
        <f>Labels!B41</f>
        <v>Payout by Origin</v>
      </c>
      <c r="C117" s="127" t="s">
        <v>384</v>
      </c>
      <c r="D117" s="128" t="s">
        <v>365</v>
      </c>
      <c r="E117" s="129" t="s">
        <v>479</v>
      </c>
    </row>
    <row r="118" spans="1:5" ht="12.75" customHeight="1">
      <c r="A118" s="43"/>
      <c r="B118" s="43"/>
      <c r="C118" s="130"/>
      <c r="D118" s="131"/>
      <c r="E118" s="43"/>
    </row>
    <row r="119" spans="1:5" ht="12.75" customHeight="1">
      <c r="A119" s="126" t="s">
        <v>487</v>
      </c>
      <c r="B119" s="126" t="str">
        <f>Labels!B42</f>
        <v>Payout by Origin %</v>
      </c>
      <c r="C119" s="127" t="s">
        <v>610</v>
      </c>
      <c r="D119" s="128" t="s">
        <v>365</v>
      </c>
      <c r="E119" s="129" t="s">
        <v>417</v>
      </c>
    </row>
    <row r="120" spans="1:5" ht="12.75" customHeight="1">
      <c r="A120" s="43"/>
      <c r="B120" s="43"/>
      <c r="C120" s="130"/>
      <c r="D120" s="131"/>
      <c r="E120" s="43"/>
    </row>
    <row r="121" spans="1:5" ht="12.75" customHeight="1">
      <c r="A121" s="126" t="s">
        <v>16</v>
      </c>
      <c r="B121" s="126" t="str">
        <f>Labels!B43</f>
        <v>Payout by Origin %</v>
      </c>
      <c r="C121" s="127" t="s">
        <v>384</v>
      </c>
      <c r="D121" s="128" t="s">
        <v>365</v>
      </c>
      <c r="E121" s="129" t="s">
        <v>354</v>
      </c>
    </row>
    <row r="122" spans="1:5" ht="12.75" customHeight="1">
      <c r="A122" s="43"/>
      <c r="B122" s="43"/>
      <c r="C122" s="130"/>
      <c r="D122" s="131"/>
      <c r="E122" s="43"/>
    </row>
    <row r="123" spans="1:5" ht="12.75" customHeight="1">
      <c r="A123" s="126" t="s">
        <v>318</v>
      </c>
      <c r="B123" s="126" t="str">
        <f>Labels!B44</f>
        <v>Payout</v>
      </c>
      <c r="C123" s="127" t="s">
        <v>430</v>
      </c>
      <c r="D123" s="128" t="s">
        <v>669</v>
      </c>
      <c r="E123" s="129" t="s">
        <v>147</v>
      </c>
    </row>
    <row r="124" spans="1:5" ht="12.75" customHeight="1">
      <c r="A124" s="126"/>
      <c r="B124" s="126"/>
      <c r="C124" s="127" t="s">
        <v>239</v>
      </c>
      <c r="D124" s="128" t="s">
        <v>669</v>
      </c>
      <c r="E124" s="129" t="s">
        <v>585</v>
      </c>
    </row>
    <row r="125" spans="1:5" ht="12.75" customHeight="1">
      <c r="A125" s="126"/>
      <c r="B125" s="126"/>
      <c r="C125" s="127" t="s">
        <v>682</v>
      </c>
      <c r="D125" s="128" t="s">
        <v>669</v>
      </c>
      <c r="E125" s="129" t="s">
        <v>585</v>
      </c>
    </row>
    <row r="126" spans="1:5" ht="12.75" customHeight="1">
      <c r="A126" s="126"/>
      <c r="B126" s="126"/>
      <c r="C126" s="127" t="s">
        <v>355</v>
      </c>
      <c r="D126" s="128" t="s">
        <v>669</v>
      </c>
      <c r="E126" s="129" t="s">
        <v>602</v>
      </c>
    </row>
    <row r="127" spans="1:5" ht="12.75" customHeight="1">
      <c r="A127" s="126"/>
      <c r="B127" s="126"/>
      <c r="C127" s="127" t="s">
        <v>24</v>
      </c>
      <c r="D127" s="128" t="s">
        <v>669</v>
      </c>
      <c r="E127" s="129" t="s">
        <v>47</v>
      </c>
    </row>
    <row r="128" spans="1:5" ht="12.75" customHeight="1">
      <c r="A128" s="126"/>
      <c r="B128" s="126"/>
      <c r="C128" s="127" t="s">
        <v>30</v>
      </c>
      <c r="D128" s="128" t="s">
        <v>365</v>
      </c>
      <c r="E128" s="129" t="s">
        <v>191</v>
      </c>
    </row>
    <row r="129" spans="1:5" ht="12.75" customHeight="1">
      <c r="A129" s="43"/>
      <c r="B129" s="43"/>
      <c r="C129" s="130"/>
      <c r="D129" s="131"/>
      <c r="E129" s="43"/>
    </row>
    <row r="130" spans="1:5" ht="12.75" customHeight="1">
      <c r="A130" s="126" t="s">
        <v>128</v>
      </c>
      <c r="B130" s="126" t="str">
        <f>Labels!B45</f>
        <v>Payout %</v>
      </c>
      <c r="C130" s="127" t="s">
        <v>610</v>
      </c>
      <c r="D130" s="128" t="s">
        <v>365</v>
      </c>
      <c r="E130" s="129" t="s">
        <v>659</v>
      </c>
    </row>
    <row r="131" spans="1:5" ht="12.75" customHeight="1">
      <c r="A131" s="43"/>
      <c r="B131" s="43"/>
      <c r="C131" s="130"/>
      <c r="D131" s="131"/>
      <c r="E131" s="43"/>
    </row>
    <row r="132" spans="1:5" ht="12.75" customHeight="1">
      <c r="A132" s="126" t="s">
        <v>272</v>
      </c>
      <c r="B132" s="126" t="str">
        <f>Labels!B46</f>
        <v>Payout Pool</v>
      </c>
      <c r="C132" s="127" t="s">
        <v>30</v>
      </c>
      <c r="D132" s="128" t="s">
        <v>669</v>
      </c>
      <c r="E132" s="129" t="s">
        <v>560</v>
      </c>
    </row>
    <row r="133" spans="1:5" ht="12.75" customHeight="1">
      <c r="A133" s="126"/>
      <c r="B133" s="126"/>
      <c r="C133" s="127"/>
      <c r="D133" s="128" t="s">
        <v>365</v>
      </c>
      <c r="E133" s="129" t="s">
        <v>425</v>
      </c>
    </row>
    <row r="134" spans="1:5" ht="12.75" customHeight="1">
      <c r="A134" s="43"/>
      <c r="B134" s="43"/>
      <c r="C134" s="130"/>
      <c r="D134" s="131"/>
      <c r="E134" s="43"/>
    </row>
    <row r="135" spans="1:5" ht="12.75" customHeight="1">
      <c r="A135" s="126" t="s">
        <v>34</v>
      </c>
      <c r="B135" s="126" t="str">
        <f>Labels!B47</f>
        <v>Initial Common Price</v>
      </c>
      <c r="C135" s="127"/>
      <c r="D135" s="128"/>
      <c r="E135" s="129"/>
    </row>
    <row r="136" spans="1:5" ht="12.75" customHeight="1">
      <c r="A136" s="43"/>
      <c r="B136" s="43"/>
      <c r="C136" s="130"/>
      <c r="D136" s="131"/>
      <c r="E136" s="43"/>
    </row>
    <row r="137" spans="1:5" ht="12.75" customHeight="1">
      <c r="A137" s="126" t="s">
        <v>626</v>
      </c>
      <c r="B137" s="126" t="str">
        <f>Labels!B48</f>
        <v>Price Premium %</v>
      </c>
      <c r="C137" s="127" t="s">
        <v>24</v>
      </c>
      <c r="D137" s="128" t="s">
        <v>669</v>
      </c>
      <c r="E137" s="129" t="s">
        <v>108</v>
      </c>
    </row>
    <row r="138" spans="1:5" ht="12.75" customHeight="1">
      <c r="A138" s="126"/>
      <c r="B138" s="126"/>
      <c r="C138" s="127" t="s">
        <v>30</v>
      </c>
      <c r="D138" s="128" t="s">
        <v>669</v>
      </c>
      <c r="E138" s="129" t="s">
        <v>439</v>
      </c>
    </row>
    <row r="139" spans="1:5" ht="12.75" customHeight="1">
      <c r="A139" s="43"/>
      <c r="B139" s="43"/>
      <c r="C139" s="130"/>
      <c r="D139" s="131"/>
      <c r="E139" s="43"/>
    </row>
    <row r="140" spans="1:5" ht="12.75" customHeight="1">
      <c r="A140" s="126" t="s">
        <v>113</v>
      </c>
      <c r="B140" s="126" t="str">
        <f>Labels!B49</f>
        <v>Conversion Price</v>
      </c>
      <c r="C140" s="127" t="s">
        <v>430</v>
      </c>
      <c r="D140" s="128" t="s">
        <v>669</v>
      </c>
      <c r="E140" s="129" t="s">
        <v>522</v>
      </c>
    </row>
    <row r="141" spans="1:5" ht="12.75" customHeight="1">
      <c r="A141" s="126"/>
      <c r="B141" s="126"/>
      <c r="C141" s="127" t="s">
        <v>239</v>
      </c>
      <c r="D141" s="128" t="s">
        <v>669</v>
      </c>
      <c r="E141" s="129" t="s">
        <v>44</v>
      </c>
    </row>
    <row r="142" spans="1:5" ht="12.75" customHeight="1">
      <c r="A142" s="126"/>
      <c r="B142" s="126"/>
      <c r="C142" s="127" t="s">
        <v>24</v>
      </c>
      <c r="D142" s="128" t="s">
        <v>669</v>
      </c>
      <c r="E142" s="129" t="s">
        <v>393</v>
      </c>
    </row>
    <row r="143" spans="1:5" ht="12.75" customHeight="1">
      <c r="A143" s="126"/>
      <c r="B143" s="126"/>
      <c r="C143" s="127" t="s">
        <v>682</v>
      </c>
      <c r="D143" s="128" t="s">
        <v>669</v>
      </c>
      <c r="E143" s="129" t="s">
        <v>44</v>
      </c>
    </row>
    <row r="144" spans="1:5" ht="12.75" customHeight="1">
      <c r="A144" s="126"/>
      <c r="B144" s="126"/>
      <c r="C144" s="127" t="s">
        <v>355</v>
      </c>
      <c r="D144" s="128" t="s">
        <v>669</v>
      </c>
      <c r="E144" s="129" t="s">
        <v>111</v>
      </c>
    </row>
    <row r="145" spans="1:5" ht="12.75" customHeight="1">
      <c r="A145" s="43"/>
      <c r="B145" s="43"/>
      <c r="C145" s="130"/>
      <c r="D145" s="131"/>
      <c r="E145" s="43"/>
    </row>
    <row r="146" spans="1:5" ht="12.75" customHeight="1">
      <c r="A146" s="126" t="s">
        <v>402</v>
      </c>
      <c r="B146" s="126" t="str">
        <f>Labels!B50</f>
        <v>Price New Unit</v>
      </c>
      <c r="C146" s="127" t="s">
        <v>239</v>
      </c>
      <c r="D146" s="128" t="s">
        <v>669</v>
      </c>
      <c r="E146" s="129" t="s">
        <v>119</v>
      </c>
    </row>
    <row r="147" spans="1:5" ht="12.75" customHeight="1">
      <c r="A147" s="126"/>
      <c r="B147" s="126"/>
      <c r="C147" s="127" t="s">
        <v>682</v>
      </c>
      <c r="D147" s="128" t="s">
        <v>669</v>
      </c>
      <c r="E147" s="129" t="s">
        <v>119</v>
      </c>
    </row>
    <row r="148" spans="1:5" ht="12.75" customHeight="1">
      <c r="A148" s="126"/>
      <c r="B148" s="126"/>
      <c r="C148" s="127" t="s">
        <v>30</v>
      </c>
      <c r="D148" s="128" t="s">
        <v>669</v>
      </c>
      <c r="E148" s="129" t="s">
        <v>103</v>
      </c>
    </row>
    <row r="149" spans="1:5" ht="12.75" customHeight="1">
      <c r="A149" s="43"/>
      <c r="B149" s="43"/>
      <c r="C149" s="130"/>
      <c r="D149" s="131"/>
      <c r="E149" s="43"/>
    </row>
    <row r="150" spans="1:5" ht="12.75" customHeight="1">
      <c r="A150" s="126" t="s">
        <v>597</v>
      </c>
      <c r="B150" s="126" t="str">
        <f>Labels!B51</f>
        <v>New Unit Price %</v>
      </c>
      <c r="C150" s="127"/>
      <c r="D150" s="128"/>
      <c r="E150" s="129"/>
    </row>
    <row r="151" spans="1:5" ht="12.75" customHeight="1">
      <c r="A151" s="43"/>
      <c r="B151" s="43"/>
      <c r="C151" s="130"/>
      <c r="D151" s="131"/>
      <c r="E151" s="43"/>
    </row>
    <row r="152" spans="1:5" ht="12.75" customHeight="1">
      <c r="A152" s="126" t="s">
        <v>103</v>
      </c>
      <c r="B152" s="126" t="str">
        <f>Labels!B52</f>
        <v>Share Price</v>
      </c>
      <c r="C152" s="127" t="s">
        <v>430</v>
      </c>
      <c r="D152" s="128" t="s">
        <v>669</v>
      </c>
      <c r="E152" s="129" t="s">
        <v>564</v>
      </c>
    </row>
    <row r="153" spans="1:5" ht="12.75" customHeight="1">
      <c r="A153" s="126"/>
      <c r="B153" s="126"/>
      <c r="C153" s="127" t="s">
        <v>239</v>
      </c>
      <c r="D153" s="128" t="s">
        <v>669</v>
      </c>
      <c r="E153" s="129" t="s">
        <v>80</v>
      </c>
    </row>
    <row r="154" spans="1:5" ht="12.75" customHeight="1">
      <c r="A154" s="126"/>
      <c r="B154" s="126"/>
      <c r="C154" s="127" t="s">
        <v>682</v>
      </c>
      <c r="D154" s="128" t="s">
        <v>669</v>
      </c>
      <c r="E154" s="129" t="s">
        <v>80</v>
      </c>
    </row>
    <row r="155" spans="1:5" ht="12.75" customHeight="1">
      <c r="A155" s="126"/>
      <c r="B155" s="126"/>
      <c r="C155" s="127" t="s">
        <v>24</v>
      </c>
      <c r="D155" s="128" t="s">
        <v>669</v>
      </c>
      <c r="E155" s="129" t="s">
        <v>498</v>
      </c>
    </row>
    <row r="156" spans="1:5" ht="12.75" customHeight="1">
      <c r="A156" s="126"/>
      <c r="B156" s="126"/>
      <c r="C156" s="127" t="s">
        <v>30</v>
      </c>
      <c r="D156" s="128" t="s">
        <v>365</v>
      </c>
      <c r="E156" s="129" t="s">
        <v>630</v>
      </c>
    </row>
    <row r="157" spans="1:5" ht="12.75" customHeight="1">
      <c r="A157" s="43"/>
      <c r="B157" s="43"/>
      <c r="C157" s="130"/>
      <c r="D157" s="131"/>
      <c r="E157" s="43"/>
    </row>
    <row r="158" spans="1:5" ht="12.75" customHeight="1">
      <c r="A158" s="126" t="s">
        <v>121</v>
      </c>
      <c r="B158" s="126" t="str">
        <f>Labels!B53</f>
        <v>Return Multiple</v>
      </c>
      <c r="C158" s="127" t="s">
        <v>384</v>
      </c>
      <c r="D158" s="128" t="s">
        <v>365</v>
      </c>
      <c r="E158" s="129" t="s">
        <v>524</v>
      </c>
    </row>
    <row r="159" spans="1:5" ht="12.75" customHeight="1">
      <c r="A159" s="43"/>
      <c r="B159" s="43"/>
      <c r="C159" s="130"/>
      <c r="D159" s="131"/>
      <c r="E159" s="43"/>
    </row>
    <row r="160" spans="1:5" ht="12.75" customHeight="1">
      <c r="A160" s="126" t="s">
        <v>227</v>
      </c>
      <c r="B160" s="126" t="str">
        <f>Labels!B54</f>
        <v>Investment Scenarios</v>
      </c>
      <c r="C160" s="127" t="s">
        <v>66</v>
      </c>
      <c r="D160" s="128" t="s">
        <v>669</v>
      </c>
      <c r="E160" s="129" t="s">
        <v>329</v>
      </c>
    </row>
    <row r="161" spans="1:5" ht="12.75" customHeight="1">
      <c r="A161" s="43"/>
      <c r="B161" s="43"/>
      <c r="C161" s="130"/>
      <c r="D161" s="131"/>
      <c r="E161" s="43"/>
    </row>
    <row r="162" spans="1:5" ht="12.75" customHeight="1">
      <c r="A162" s="126" t="s">
        <v>206</v>
      </c>
      <c r="B162" s="126" t="str">
        <f>Labels!B55</f>
        <v>Scenarios_Value_Dim</v>
      </c>
      <c r="C162" s="127" t="s">
        <v>155</v>
      </c>
      <c r="D162" s="128" t="s">
        <v>669</v>
      </c>
      <c r="E162" s="129" t="s">
        <v>304</v>
      </c>
    </row>
    <row r="163" spans="1:5" ht="12.75" customHeight="1">
      <c r="A163" s="43"/>
      <c r="B163" s="43"/>
      <c r="C163" s="130"/>
      <c r="D163" s="131"/>
      <c r="E163" s="43"/>
    </row>
    <row r="164" spans="1:5" ht="12.75" customHeight="1">
      <c r="A164" s="126" t="s">
        <v>689</v>
      </c>
      <c r="B164" s="126" t="str">
        <f>Labels!B56</f>
        <v>Common Shares by Origin</v>
      </c>
      <c r="C164" s="127" t="s">
        <v>430</v>
      </c>
      <c r="D164" s="128" t="s">
        <v>669</v>
      </c>
      <c r="E164" s="129" t="s">
        <v>437</v>
      </c>
    </row>
    <row r="165" spans="1:5" ht="12.75" customHeight="1">
      <c r="A165" s="126"/>
      <c r="B165" s="126"/>
      <c r="C165" s="127" t="s">
        <v>30</v>
      </c>
      <c r="D165" s="128" t="s">
        <v>669</v>
      </c>
      <c r="E165" s="129" t="s">
        <v>116</v>
      </c>
    </row>
    <row r="166" spans="1:5" ht="12.75" customHeight="1">
      <c r="A166" s="126"/>
      <c r="B166" s="126"/>
      <c r="C166" s="127"/>
      <c r="D166" s="128" t="s">
        <v>365</v>
      </c>
      <c r="E166" s="129" t="s">
        <v>331</v>
      </c>
    </row>
    <row r="167" spans="1:5" ht="12.75" customHeight="1">
      <c r="A167" s="43"/>
      <c r="B167" s="43"/>
      <c r="C167" s="130"/>
      <c r="D167" s="131"/>
      <c r="E167" s="43"/>
    </row>
    <row r="168" spans="1:5" ht="12.75" customHeight="1">
      <c r="A168" s="126" t="s">
        <v>148</v>
      </c>
      <c r="B168" s="126" t="str">
        <f>Labels!B57</f>
        <v>Split Factor</v>
      </c>
      <c r="C168" s="127"/>
      <c r="D168" s="128"/>
      <c r="E168" s="129"/>
    </row>
    <row r="169" spans="1:5" ht="12.75" customHeight="1">
      <c r="A169" s="43"/>
      <c r="B169" s="43"/>
      <c r="C169" s="130"/>
      <c r="D169" s="131"/>
      <c r="E169" s="43"/>
    </row>
    <row r="170" spans="1:5" ht="12.75" customHeight="1">
      <c r="A170" s="126" t="s">
        <v>207</v>
      </c>
      <c r="B170" s="126" t="str">
        <f>Labels!B58</f>
        <v>Net Units</v>
      </c>
      <c r="C170" s="127" t="s">
        <v>165</v>
      </c>
      <c r="D170" s="128" t="s">
        <v>669</v>
      </c>
      <c r="E170" s="129" t="s">
        <v>316</v>
      </c>
    </row>
    <row r="171" spans="1:5" ht="12.75" customHeight="1">
      <c r="A171" s="126"/>
      <c r="B171" s="126"/>
      <c r="C171" s="127" t="s">
        <v>407</v>
      </c>
      <c r="D171" s="128" t="s">
        <v>669</v>
      </c>
      <c r="E171" s="129" t="s">
        <v>342</v>
      </c>
    </row>
    <row r="172" spans="1:5" ht="12.75" customHeight="1">
      <c r="A172" s="126"/>
      <c r="B172" s="126"/>
      <c r="C172" s="127" t="s">
        <v>562</v>
      </c>
      <c r="D172" s="128" t="s">
        <v>669</v>
      </c>
      <c r="E172" s="129" t="s">
        <v>323</v>
      </c>
    </row>
    <row r="173" spans="1:5" ht="12.75" customHeight="1">
      <c r="A173" s="126"/>
      <c r="B173" s="126"/>
      <c r="C173" s="127" t="s">
        <v>528</v>
      </c>
      <c r="D173" s="128" t="s">
        <v>669</v>
      </c>
      <c r="E173" s="129" t="s">
        <v>535</v>
      </c>
    </row>
    <row r="174" spans="1:5" ht="12.75" customHeight="1">
      <c r="A174" s="126"/>
      <c r="B174" s="126"/>
      <c r="C174" s="127" t="s">
        <v>295</v>
      </c>
      <c r="D174" s="128" t="s">
        <v>669</v>
      </c>
      <c r="E174" s="129" t="s">
        <v>434</v>
      </c>
    </row>
    <row r="175" spans="1:5" ht="12.75" customHeight="1">
      <c r="A175" s="126"/>
      <c r="B175" s="126"/>
      <c r="C175" s="127" t="s">
        <v>301</v>
      </c>
      <c r="D175" s="128" t="s">
        <v>669</v>
      </c>
      <c r="E175" s="129" t="s">
        <v>647</v>
      </c>
    </row>
    <row r="176" spans="1:5" ht="12.75" customHeight="1">
      <c r="A176" s="126"/>
      <c r="B176" s="126"/>
      <c r="C176" s="127" t="s">
        <v>211</v>
      </c>
      <c r="D176" s="128" t="s">
        <v>669</v>
      </c>
      <c r="E176" s="129" t="s">
        <v>131</v>
      </c>
    </row>
    <row r="177" spans="1:5" ht="12.75" customHeight="1">
      <c r="A177" s="126"/>
      <c r="B177" s="126"/>
      <c r="C177" s="127" t="s">
        <v>293</v>
      </c>
      <c r="D177" s="128" t="s">
        <v>669</v>
      </c>
      <c r="E177" s="129" t="s">
        <v>340</v>
      </c>
    </row>
    <row r="178" spans="1:5" ht="12.75" customHeight="1">
      <c r="A178" s="126"/>
      <c r="B178" s="126"/>
      <c r="C178" s="127" t="s">
        <v>520</v>
      </c>
      <c r="D178" s="128" t="s">
        <v>669</v>
      </c>
      <c r="E178" s="129" t="s">
        <v>429</v>
      </c>
    </row>
    <row r="179" spans="1:5" ht="12.75" customHeight="1">
      <c r="A179" s="43"/>
      <c r="B179" s="43"/>
      <c r="C179" s="130"/>
      <c r="D179" s="131"/>
      <c r="E179" s="43"/>
    </row>
    <row r="180" spans="1:5" ht="12.75" customHeight="1">
      <c r="A180" s="126" t="s">
        <v>434</v>
      </c>
      <c r="B180" s="126" t="str">
        <f>Labels!B59</f>
        <v>New Units Sold</v>
      </c>
      <c r="C180" s="127" t="s">
        <v>610</v>
      </c>
      <c r="D180" s="128" t="s">
        <v>669</v>
      </c>
      <c r="E180" s="129" t="s">
        <v>693</v>
      </c>
    </row>
    <row r="181" spans="1:5" ht="12.75" customHeight="1">
      <c r="A181" s="43"/>
      <c r="B181" s="43"/>
      <c r="C181" s="130"/>
      <c r="D181" s="131"/>
      <c r="E181" s="43"/>
    </row>
    <row r="182" spans="1:5" ht="12.75" customHeight="1">
      <c r="A182" s="126" t="s">
        <v>75</v>
      </c>
      <c r="B182" s="126" t="str">
        <f>Labels!B60</f>
        <v>New Units</v>
      </c>
      <c r="C182" s="127"/>
      <c r="D182" s="128"/>
      <c r="E182" s="129"/>
    </row>
  </sheetData>
  <mergeCells count="4">
    <mergeCell ref="A1:D1"/>
    <mergeCell ref="A2:D2"/>
    <mergeCell ref="A3:D3"/>
    <mergeCell ref="A4:D4"/>
  </mergeCells>
  <pageMargins left="0.75" right="0.75" top="1" bottom="1" header="0.5" footer="0.5"/>
  <pageSetup paperSize="9" orientation="landscape" horizontalDpi="0" verticalDpi="0" copies="0"/>
  <headerFooter alignWithMargins="0"/>
  <legacyDrawing r:id="rId1"/>
</worksheet>
</file>

<file path=xl/worksheets/sheet11.xml><?xml version="1.0" encoding="utf-8"?>
<worksheet xmlns="http://schemas.openxmlformats.org/spreadsheetml/2006/main" xmlns:r="http://schemas.openxmlformats.org/officeDocument/2006/relationships">
  <sheetPr>
    <outlinePr summaryBelow="0" summaryRight="0"/>
  </sheetPr>
  <dimension ref="A1:H92"/>
  <sheetViews>
    <sheetView workbookViewId="0"/>
  </sheetViews>
  <sheetFormatPr defaultRowHeight="12.75" customHeight="1"/>
  <cols>
    <col min="1" max="1" width="26.28515625" customWidth="1"/>
    <col min="2" max="2" width="9.140625" customWidth="1"/>
    <col min="3" max="3" width="22.5703125" customWidth="1"/>
    <col min="4" max="4" width="8.7109375" customWidth="1"/>
    <col min="5" max="5" width="20.85546875" customWidth="1"/>
    <col min="6" max="6" width="10.5703125" customWidth="1"/>
    <col min="7" max="7" width="25.42578125" customWidth="1"/>
    <col min="8" max="8" width="6" customWidth="1"/>
  </cols>
  <sheetData>
    <row r="1" spans="1:8" ht="12.75" customHeight="1">
      <c r="A1" s="214" t="str">
        <f>"Capitalization Table"</f>
        <v>Capitalization Table</v>
      </c>
      <c r="B1" s="214"/>
      <c r="C1" s="214"/>
      <c r="D1" s="214"/>
    </row>
    <row r="2" spans="1:8" ht="12.75" customHeight="1">
      <c r="A2" s="214" t="str">
        <f>Inputs!B8</f>
        <v>ABC Corp.</v>
      </c>
      <c r="B2" s="214"/>
      <c r="C2" s="214"/>
      <c r="D2" s="214"/>
    </row>
    <row r="3" spans="1:8" ht="12.75" customHeight="1">
      <c r="A3" s="214" t="str">
        <f>IF("Boneyard"="(Default Input)","Ignore this sheet in normal use.","Investment Scenario "&amp;1&amp;", Valuation Scenario "&amp;1)</f>
        <v>Investment Scenario 1, Valuation Scenario 1</v>
      </c>
      <c r="B3" s="214"/>
      <c r="C3" s="214"/>
      <c r="D3" s="214"/>
    </row>
    <row r="4" spans="1:8" ht="12.75" customHeight="1">
      <c r="A4" s="214" t="str">
        <f>" "</f>
        <v xml:space="preserve"> </v>
      </c>
      <c r="B4" s="214"/>
      <c r="C4" s="214"/>
      <c r="D4" s="214"/>
    </row>
    <row r="5" spans="1:8" ht="12.75" customHeight="1">
      <c r="A5" s="214" t="str">
        <f>"Ignore this sheet. It should be hidden."</f>
        <v>Ignore this sheet. It should be hidden.</v>
      </c>
      <c r="B5" s="214"/>
      <c r="C5" s="214"/>
      <c r="D5" s="214"/>
    </row>
    <row r="6" spans="1:8" ht="12.75" customHeight="1">
      <c r="A6" s="214" t="str">
        <f>" "</f>
        <v xml:space="preserve"> </v>
      </c>
      <c r="B6" s="214"/>
      <c r="C6" s="214"/>
      <c r="D6" s="214"/>
    </row>
    <row r="7" spans="1:8" ht="12.75" customHeight="1">
      <c r="A7" s="11" t="str">
        <f>Labels!B13</f>
        <v>Note Conversion Discount %</v>
      </c>
      <c r="B7" s="24"/>
      <c r="C7" s="11" t="str">
        <f>Labels!B9</f>
        <v>Conversion Trigger Date</v>
      </c>
      <c r="D7" s="33"/>
      <c r="E7" s="11" t="str">
        <f>Labels!B10</f>
        <v>Convert Trigger Invest</v>
      </c>
      <c r="F7" s="12"/>
      <c r="G7" s="11" t="str">
        <f>Labels!B11</f>
        <v>Conversion Trigger Value %</v>
      </c>
      <c r="H7" s="24"/>
    </row>
    <row r="8" spans="1:8" ht="12.75" customHeight="1">
      <c r="A8" s="13" t="str">
        <f>"   "&amp;Labels!B83</f>
        <v xml:space="preserve">   Conv Note</v>
      </c>
      <c r="B8" s="45"/>
      <c r="C8" s="13" t="str">
        <f>"   "&amp;Labels!B83</f>
        <v xml:space="preserve">   Conv Note</v>
      </c>
      <c r="D8" s="132"/>
      <c r="E8" s="13" t="str">
        <f>"   "&amp;Labels!B83</f>
        <v xml:space="preserve">   Conv Note</v>
      </c>
      <c r="F8" s="20"/>
      <c r="G8" s="13" t="str">
        <f>"   "&amp;Labels!B83</f>
        <v xml:space="preserve">   Conv Note</v>
      </c>
      <c r="H8" s="45"/>
    </row>
    <row r="9" spans="1:8" ht="12.75" customHeight="1">
      <c r="A9" s="69" t="str">
        <f>"      "&amp;Labels!B84</f>
        <v xml:space="preserve">      Series B</v>
      </c>
      <c r="B9" s="45">
        <f>Inputs!B38</f>
        <v>0.3</v>
      </c>
      <c r="C9" s="69" t="str">
        <f>"      "&amp;Labels!B84</f>
        <v xml:space="preserve">      Series B</v>
      </c>
      <c r="D9" s="132">
        <f>Inputs!B47</f>
        <v>40634</v>
      </c>
      <c r="E9" s="69" t="str">
        <f>"      "&amp;Labels!B84</f>
        <v xml:space="preserve">      Series B</v>
      </c>
      <c r="F9" s="20">
        <f>Inputs!B51</f>
        <v>1000000</v>
      </c>
      <c r="G9" s="69" t="str">
        <f>"      "&amp;Labels!B84</f>
        <v xml:space="preserve">      Series B</v>
      </c>
      <c r="H9" s="45">
        <f>Inputs!E47</f>
        <v>0.5</v>
      </c>
    </row>
    <row r="10" spans="1:8" ht="12.75" customHeight="1">
      <c r="A10" s="69" t="str">
        <f>"      "&amp;Labels!B85</f>
        <v xml:space="preserve">      Series A</v>
      </c>
      <c r="B10" s="45">
        <f>Inputs!B39</f>
        <v>0.3</v>
      </c>
      <c r="C10" s="69" t="str">
        <f>"      "&amp;Labels!B85</f>
        <v xml:space="preserve">      Series A</v>
      </c>
      <c r="D10" s="132">
        <f>Inputs!B48</f>
        <v>40634</v>
      </c>
      <c r="E10" s="69" t="str">
        <f>"      "&amp;Labels!B85</f>
        <v xml:space="preserve">      Series A</v>
      </c>
      <c r="F10" s="20">
        <f>Inputs!B52</f>
        <v>1000000</v>
      </c>
      <c r="G10" s="69" t="str">
        <f>"      "&amp;Labels!B85</f>
        <v xml:space="preserve">      Series A</v>
      </c>
      <c r="H10" s="45">
        <f>Inputs!E48</f>
        <v>0.5</v>
      </c>
    </row>
    <row r="11" spans="1:8" ht="12.75" customHeight="1">
      <c r="A11" s="13" t="str">
        <f>"   "&amp;Labels!B86</f>
        <v xml:space="preserve">   Preferred</v>
      </c>
      <c r="B11" s="45"/>
      <c r="C11" s="13" t="str">
        <f>"   "&amp;Labels!B86</f>
        <v xml:space="preserve">   Preferred</v>
      </c>
      <c r="D11" s="132"/>
      <c r="E11" s="13" t="str">
        <f>"   "&amp;Labels!B86</f>
        <v xml:space="preserve">   Preferred</v>
      </c>
      <c r="F11" s="20"/>
      <c r="G11" s="13" t="str">
        <f>"   "&amp;Labels!B86</f>
        <v xml:space="preserve">   Preferred</v>
      </c>
      <c r="H11" s="45"/>
    </row>
    <row r="12" spans="1:8" ht="12.75" customHeight="1">
      <c r="A12" s="69" t="str">
        <f>"      "&amp;Labels!B87</f>
        <v xml:space="preserve">      Series A</v>
      </c>
      <c r="B12" s="26">
        <f>0</f>
        <v>0</v>
      </c>
      <c r="C12" s="69" t="str">
        <f>"      "&amp;Labels!B87</f>
        <v xml:space="preserve">      Series A</v>
      </c>
      <c r="D12" s="132">
        <f>Inputs!B79</f>
        <v>40634</v>
      </c>
      <c r="E12" s="69" t="str">
        <f>"      "&amp;Labels!B87</f>
        <v xml:space="preserve">      Series A</v>
      </c>
      <c r="F12" s="20">
        <f>Inputs!B82</f>
        <v>1500000</v>
      </c>
      <c r="G12" s="69" t="str">
        <f>"      "&amp;Labels!B87</f>
        <v xml:space="preserve">      Series A</v>
      </c>
      <c r="H12" s="45">
        <f>Inputs!E79</f>
        <v>0.5</v>
      </c>
    </row>
    <row r="13" spans="1:8" ht="12.75" customHeight="1">
      <c r="A13" s="13" t="str">
        <f>"   "&amp;Labels!B88</f>
        <v xml:space="preserve">   Common</v>
      </c>
      <c r="B13" s="26">
        <f>0</f>
        <v>0</v>
      </c>
      <c r="C13" s="13" t="str">
        <f>"   "&amp;Labels!B88</f>
        <v xml:space="preserve">   Common</v>
      </c>
      <c r="D13" s="34">
        <f>DATE(2011,4,1)</f>
        <v>40634</v>
      </c>
      <c r="E13" s="13" t="str">
        <f>"   "&amp;Labels!B88</f>
        <v xml:space="preserve">   Common</v>
      </c>
      <c r="F13" s="14">
        <f>1500000</f>
        <v>1500000</v>
      </c>
      <c r="G13" s="13" t="str">
        <f>"   "&amp;Labels!B88</f>
        <v xml:space="preserve">   Common</v>
      </c>
      <c r="H13" s="26">
        <f>0.5</f>
        <v>0.5</v>
      </c>
    </row>
    <row r="14" spans="1:8" ht="12.75" customHeight="1">
      <c r="A14" s="13" t="str">
        <f>"   "&amp;Labels!B89</f>
        <v xml:space="preserve">   Warrant</v>
      </c>
      <c r="B14" s="26">
        <f>0</f>
        <v>0</v>
      </c>
      <c r="C14" s="13" t="str">
        <f>"   "&amp;Labels!B89</f>
        <v xml:space="preserve">   Warrant</v>
      </c>
      <c r="D14" s="34">
        <f>DATE(2011,4,1)</f>
        <v>40634</v>
      </c>
      <c r="E14" s="13" t="str">
        <f>"   "&amp;Labels!B89</f>
        <v xml:space="preserve">   Warrant</v>
      </c>
      <c r="F14" s="14">
        <f>1500000</f>
        <v>1500000</v>
      </c>
      <c r="G14" s="13" t="str">
        <f>"   "&amp;Labels!B89</f>
        <v xml:space="preserve">   Warrant</v>
      </c>
      <c r="H14" s="26">
        <f>0.5</f>
        <v>0.5</v>
      </c>
    </row>
    <row r="15" spans="1:8" ht="12.75" customHeight="1">
      <c r="A15" s="13" t="str">
        <f>"   "&amp;Labels!B90</f>
        <v xml:space="preserve">   Option</v>
      </c>
      <c r="B15" s="45"/>
      <c r="C15" s="13" t="str">
        <f>"   "&amp;Labels!B90</f>
        <v xml:space="preserve">   Option</v>
      </c>
      <c r="D15" s="132"/>
      <c r="E15" s="13" t="str">
        <f>"   "&amp;Labels!B90</f>
        <v xml:space="preserve">   Option</v>
      </c>
      <c r="F15" s="20"/>
      <c r="G15" s="13" t="str">
        <f>"   "&amp;Labels!B90</f>
        <v xml:space="preserve">   Option</v>
      </c>
      <c r="H15" s="45"/>
    </row>
    <row r="16" spans="1:8" ht="12.75" customHeight="1">
      <c r="A16" s="69" t="str">
        <f>"      "&amp;Labels!B91</f>
        <v xml:space="preserve">      Series B</v>
      </c>
      <c r="B16" s="26">
        <f>0</f>
        <v>0</v>
      </c>
      <c r="C16" s="69" t="str">
        <f>"      "&amp;Labels!B91</f>
        <v xml:space="preserve">      Series B</v>
      </c>
      <c r="D16" s="132">
        <f>Inputs!E126</f>
        <v>40634</v>
      </c>
      <c r="E16" s="69" t="str">
        <f>"      "&amp;Labels!B91</f>
        <v xml:space="preserve">      Series B</v>
      </c>
      <c r="F16" s="20">
        <f>Inputs!B130</f>
        <v>1500000</v>
      </c>
      <c r="G16" s="69" t="str">
        <f>"      "&amp;Labels!B91</f>
        <v xml:space="preserve">      Series B</v>
      </c>
      <c r="H16" s="45">
        <f>Inputs!E130</f>
        <v>0.5</v>
      </c>
    </row>
    <row r="17" spans="1:8" ht="12.75" customHeight="1">
      <c r="A17" s="84" t="str">
        <f>"      "&amp;Labels!B92</f>
        <v xml:space="preserve">      Series A</v>
      </c>
      <c r="B17" s="55">
        <f>0</f>
        <v>0</v>
      </c>
      <c r="C17" s="84" t="str">
        <f>"      "&amp;Labels!B92</f>
        <v xml:space="preserve">      Series A</v>
      </c>
      <c r="D17" s="133">
        <f>Inputs!E127</f>
        <v>40634</v>
      </c>
      <c r="E17" s="84" t="str">
        <f>"      "&amp;Labels!B92</f>
        <v xml:space="preserve">      Series A</v>
      </c>
      <c r="F17" s="23">
        <f>Inputs!B131</f>
        <v>1500000</v>
      </c>
      <c r="G17" s="84" t="str">
        <f>"      "&amp;Labels!B92</f>
        <v xml:space="preserve">      Series A</v>
      </c>
      <c r="H17" s="39">
        <f>Inputs!E131</f>
        <v>0.5</v>
      </c>
    </row>
    <row r="19" spans="1:8" ht="12.75" customHeight="1">
      <c r="A19" s="11" t="str">
        <f>Labels!B18</f>
        <v>Dividend % (Yr)</v>
      </c>
      <c r="B19" s="38"/>
      <c r="C19" s="11" t="str">
        <f>Labels!B51</f>
        <v>New Unit Price %</v>
      </c>
      <c r="D19" s="24"/>
      <c r="E19" s="11" t="str">
        <f>Labels!B33</f>
        <v>Liq Multiple</v>
      </c>
      <c r="F19" s="25"/>
      <c r="G19" s="11" t="str">
        <f>Labels!B8</f>
        <v>Conversion Liq Premium %</v>
      </c>
      <c r="H19" s="67"/>
    </row>
    <row r="20" spans="1:8" ht="12.75" customHeight="1">
      <c r="A20" s="13" t="str">
        <f>"   "&amp;Labels!B83</f>
        <v xml:space="preserve">   Conv Note</v>
      </c>
      <c r="B20" s="30"/>
      <c r="C20" s="13" t="str">
        <f>"   "&amp;Labels!B83</f>
        <v xml:space="preserve">   Conv Note</v>
      </c>
      <c r="D20" s="45"/>
      <c r="E20" s="13" t="str">
        <f>"   "&amp;Labels!B83</f>
        <v xml:space="preserve">   Conv Note</v>
      </c>
      <c r="F20" s="134"/>
      <c r="G20" s="13" t="str">
        <f>"   "&amp;Labels!B83</f>
        <v xml:space="preserve">   Conv Note</v>
      </c>
      <c r="H20" s="35"/>
    </row>
    <row r="21" spans="1:8" ht="12.75" customHeight="1">
      <c r="A21" s="69" t="str">
        <f>"      "&amp;Labels!B84</f>
        <v xml:space="preserve">      Series B</v>
      </c>
      <c r="B21" s="30">
        <f>Inputs!B42</f>
        <v>0.04</v>
      </c>
      <c r="C21" s="69" t="str">
        <f>"      "&amp;Labels!B84</f>
        <v xml:space="preserve">      Series B</v>
      </c>
      <c r="D21" s="26">
        <f>1</f>
        <v>1</v>
      </c>
      <c r="E21" s="69" t="str">
        <f>"      "&amp;Labels!B84</f>
        <v xml:space="preserve">      Series B</v>
      </c>
      <c r="F21" s="134">
        <f>Inputs!E38</f>
        <v>1</v>
      </c>
      <c r="G21" s="69" t="str">
        <f>"      "&amp;Labels!B84</f>
        <v xml:space="preserve">      Series B</v>
      </c>
      <c r="H21" s="35">
        <f>Inputs!E51</f>
        <v>0.2</v>
      </c>
    </row>
    <row r="22" spans="1:8" ht="12.75" customHeight="1">
      <c r="A22" s="69" t="str">
        <f>"      "&amp;Labels!B85</f>
        <v xml:space="preserve">      Series A</v>
      </c>
      <c r="B22" s="30">
        <f>Inputs!B43</f>
        <v>0.04</v>
      </c>
      <c r="C22" s="69" t="str">
        <f>"      "&amp;Labels!B85</f>
        <v xml:space="preserve">      Series A</v>
      </c>
      <c r="D22" s="26">
        <f>1</f>
        <v>1</v>
      </c>
      <c r="E22" s="69" t="str">
        <f>"      "&amp;Labels!B85</f>
        <v xml:space="preserve">      Series A</v>
      </c>
      <c r="F22" s="134">
        <f>Inputs!E39</f>
        <v>1</v>
      </c>
      <c r="G22" s="69" t="str">
        <f>"      "&amp;Labels!B85</f>
        <v xml:space="preserve">      Series A</v>
      </c>
      <c r="H22" s="35">
        <f>Inputs!E52</f>
        <v>0.2</v>
      </c>
    </row>
    <row r="23" spans="1:8" ht="12.75" customHeight="1">
      <c r="A23" s="13" t="str">
        <f>"   "&amp;Labels!B86</f>
        <v xml:space="preserve">   Preferred</v>
      </c>
      <c r="B23" s="30"/>
      <c r="C23" s="13" t="str">
        <f>"   "&amp;Labels!B86</f>
        <v xml:space="preserve">   Preferred</v>
      </c>
      <c r="D23" s="45"/>
      <c r="E23" s="13" t="str">
        <f>"   "&amp;Labels!B86</f>
        <v xml:space="preserve">   Preferred</v>
      </c>
      <c r="F23" s="134"/>
      <c r="G23" s="13" t="str">
        <f>"   "&amp;Labels!B86</f>
        <v xml:space="preserve">   Preferred</v>
      </c>
      <c r="H23" s="35"/>
    </row>
    <row r="24" spans="1:8" ht="12.75" customHeight="1">
      <c r="A24" s="69" t="str">
        <f>"      "&amp;Labels!B87</f>
        <v xml:space="preserve">      Series A</v>
      </c>
      <c r="B24" s="30">
        <f>Inputs!E75</f>
        <v>0.06</v>
      </c>
      <c r="C24" s="69" t="str">
        <f>"      "&amp;Labels!B87</f>
        <v xml:space="preserve">      Series A</v>
      </c>
      <c r="D24" s="26">
        <f>1</f>
        <v>1</v>
      </c>
      <c r="E24" s="69" t="str">
        <f>"      "&amp;Labels!B87</f>
        <v xml:space="preserve">      Series A</v>
      </c>
      <c r="F24" s="134">
        <f>Inputs!B75</f>
        <v>1</v>
      </c>
      <c r="G24" s="69" t="str">
        <f>"      "&amp;Labels!B87</f>
        <v xml:space="preserve">      Series A</v>
      </c>
      <c r="H24" s="35">
        <f>Inputs!E82</f>
        <v>-0.2</v>
      </c>
    </row>
    <row r="25" spans="1:8" ht="12.75" customHeight="1">
      <c r="A25" s="13" t="str">
        <f>"   "&amp;Labels!B88</f>
        <v xml:space="preserve">   Common</v>
      </c>
      <c r="B25" s="31">
        <f>0</f>
        <v>0</v>
      </c>
      <c r="C25" s="13" t="str">
        <f>"   "&amp;Labels!B88</f>
        <v xml:space="preserve">   Common</v>
      </c>
      <c r="D25" s="26">
        <f>1</f>
        <v>1</v>
      </c>
      <c r="E25" s="13" t="str">
        <f>"   "&amp;Labels!B88</f>
        <v xml:space="preserve">   Common</v>
      </c>
      <c r="F25" s="27">
        <f>0</f>
        <v>0</v>
      </c>
      <c r="G25" s="13" t="str">
        <f>"   "&amp;Labels!B88</f>
        <v xml:space="preserve">   Common</v>
      </c>
      <c r="H25" s="36">
        <f>0</f>
        <v>0</v>
      </c>
    </row>
    <row r="26" spans="1:8" ht="12.75" customHeight="1">
      <c r="A26" s="13" t="str">
        <f>"   "&amp;Labels!B89</f>
        <v xml:space="preserve">   Warrant</v>
      </c>
      <c r="B26" s="31">
        <f>0</f>
        <v>0</v>
      </c>
      <c r="C26" s="13" t="str">
        <f>"   "&amp;Labels!B89</f>
        <v xml:space="preserve">   Warrant</v>
      </c>
      <c r="D26" s="26">
        <f>1</f>
        <v>1</v>
      </c>
      <c r="E26" s="13" t="str">
        <f>"   "&amp;Labels!B89</f>
        <v xml:space="preserve">   Warrant</v>
      </c>
      <c r="F26" s="27">
        <f>0</f>
        <v>0</v>
      </c>
      <c r="G26" s="13" t="str">
        <f>"   "&amp;Labels!B89</f>
        <v xml:space="preserve">   Warrant</v>
      </c>
      <c r="H26" s="36">
        <f>0</f>
        <v>0</v>
      </c>
    </row>
    <row r="27" spans="1:8" ht="12.75" customHeight="1">
      <c r="A27" s="13" t="str">
        <f>"   "&amp;Labels!B90</f>
        <v xml:space="preserve">   Option</v>
      </c>
      <c r="B27" s="30"/>
      <c r="C27" s="13" t="str">
        <f>"   "&amp;Labels!B90</f>
        <v xml:space="preserve">   Option</v>
      </c>
      <c r="D27" s="45"/>
      <c r="E27" s="13" t="str">
        <f>"   "&amp;Labels!B90</f>
        <v xml:space="preserve">   Option</v>
      </c>
      <c r="F27" s="134"/>
      <c r="G27" s="13" t="str">
        <f>"   "&amp;Labels!B90</f>
        <v xml:space="preserve">   Option</v>
      </c>
      <c r="H27" s="35"/>
    </row>
    <row r="28" spans="1:8" ht="12.75" customHeight="1">
      <c r="A28" s="69" t="str">
        <f>"      "&amp;Labels!B91</f>
        <v xml:space="preserve">      Series B</v>
      </c>
      <c r="B28" s="31">
        <f>0</f>
        <v>0</v>
      </c>
      <c r="C28" s="69" t="str">
        <f>"      "&amp;Labels!B91</f>
        <v xml:space="preserve">      Series B</v>
      </c>
      <c r="D28" s="45">
        <f>Inputs!B110</f>
        <v>1</v>
      </c>
      <c r="E28" s="69" t="str">
        <f>"      "&amp;Labels!B91</f>
        <v xml:space="preserve">      Series B</v>
      </c>
      <c r="F28" s="27">
        <f>0</f>
        <v>0</v>
      </c>
      <c r="G28" s="69" t="str">
        <f>"      "&amp;Labels!B91</f>
        <v xml:space="preserve">      Series B</v>
      </c>
      <c r="H28" s="36">
        <f>0</f>
        <v>0</v>
      </c>
    </row>
    <row r="29" spans="1:8" ht="12.75" customHeight="1">
      <c r="A29" s="84" t="str">
        <f>"      "&amp;Labels!B92</f>
        <v xml:space="preserve">      Series A</v>
      </c>
      <c r="B29" s="32">
        <f>0</f>
        <v>0</v>
      </c>
      <c r="C29" s="84" t="str">
        <f>"      "&amp;Labels!B92</f>
        <v xml:space="preserve">      Series A</v>
      </c>
      <c r="D29" s="39">
        <f>Inputs!B111</f>
        <v>1</v>
      </c>
      <c r="E29" s="84" t="str">
        <f>"      "&amp;Labels!B92</f>
        <v xml:space="preserve">      Series A</v>
      </c>
      <c r="F29" s="28">
        <f>0</f>
        <v>0</v>
      </c>
      <c r="G29" s="84" t="str">
        <f>"      "&amp;Labels!B92</f>
        <v xml:space="preserve">      Series A</v>
      </c>
      <c r="H29" s="37">
        <f>0</f>
        <v>0</v>
      </c>
    </row>
    <row r="32" spans="1:8" ht="12.75" customHeight="1">
      <c r="B32" s="6" t="str">
        <f>Labels!B78</f>
        <v>Seed</v>
      </c>
      <c r="C32" s="7" t="str">
        <f>Labels!B79</f>
        <v>Round A</v>
      </c>
      <c r="D32" s="8" t="str">
        <f>Labels!B80</f>
        <v>Exit</v>
      </c>
    </row>
    <row r="33" spans="1:5" ht="12.75" customHeight="1">
      <c r="A33" s="11" t="str">
        <f>Labels!B48</f>
        <v>Price Premium %</v>
      </c>
      <c r="B33" s="41"/>
      <c r="C33" s="41"/>
      <c r="D33" s="135"/>
    </row>
    <row r="34" spans="1:5" ht="12.75" customHeight="1">
      <c r="A34" s="13" t="str">
        <f>"   "&amp;Labels!B83</f>
        <v xml:space="preserve">   Conv Note</v>
      </c>
      <c r="B34" s="136"/>
      <c r="C34" s="136"/>
      <c r="D34" s="137"/>
    </row>
    <row r="35" spans="1:5" ht="12.75" customHeight="1">
      <c r="A35" s="69" t="str">
        <f>"      "&amp;Labels!B84</f>
        <v xml:space="preserve">      Series B</v>
      </c>
      <c r="B35" s="42">
        <f>0</f>
        <v>0</v>
      </c>
      <c r="C35" s="42">
        <f>B35</f>
        <v>0</v>
      </c>
      <c r="D35" s="138">
        <f>C35</f>
        <v>0</v>
      </c>
    </row>
    <row r="36" spans="1:5" ht="12.75" customHeight="1">
      <c r="A36" s="69" t="str">
        <f>"      "&amp;Labels!B85</f>
        <v xml:space="preserve">      Series A</v>
      </c>
      <c r="B36" s="42">
        <f>0</f>
        <v>0</v>
      </c>
      <c r="C36" s="42">
        <f>B36</f>
        <v>0</v>
      </c>
      <c r="D36" s="138">
        <f>C36</f>
        <v>0</v>
      </c>
    </row>
    <row r="37" spans="1:5" ht="12.75" customHeight="1">
      <c r="A37" s="13" t="str">
        <f>"   "&amp;Labels!B86</f>
        <v xml:space="preserve">   Preferred</v>
      </c>
      <c r="B37" s="136"/>
      <c r="C37" s="136"/>
      <c r="D37" s="137"/>
    </row>
    <row r="38" spans="1:5" ht="12.75" customHeight="1">
      <c r="A38" s="69" t="str">
        <f>"      "&amp;Labels!B87</f>
        <v xml:space="preserve">      Series A</v>
      </c>
      <c r="B38" s="139">
        <f>Inputs!B68</f>
        <v>0.1</v>
      </c>
      <c r="C38" s="139">
        <f>Inputs!C68</f>
        <v>0.1</v>
      </c>
      <c r="D38" s="140">
        <f>Inputs!D68</f>
        <v>0.1</v>
      </c>
    </row>
    <row r="39" spans="1:5" ht="12.75" customHeight="1">
      <c r="A39" s="13" t="str">
        <f>"   "&amp;Labels!B88</f>
        <v xml:space="preserve">   Common</v>
      </c>
      <c r="B39" s="141">
        <f>0</f>
        <v>0</v>
      </c>
      <c r="C39" s="141">
        <f>B39</f>
        <v>0</v>
      </c>
      <c r="D39" s="142">
        <f>C39</f>
        <v>0</v>
      </c>
    </row>
    <row r="40" spans="1:5" ht="12.75" customHeight="1">
      <c r="A40" s="13" t="str">
        <f>"   "&amp;Labels!B89</f>
        <v xml:space="preserve">   Warrant</v>
      </c>
      <c r="B40" s="141">
        <f>0</f>
        <v>0</v>
      </c>
      <c r="C40" s="141">
        <f>B40</f>
        <v>0</v>
      </c>
      <c r="D40" s="142">
        <f>C40</f>
        <v>0</v>
      </c>
    </row>
    <row r="41" spans="1:5" ht="12.75" customHeight="1">
      <c r="A41" s="13" t="str">
        <f>"   "&amp;Labels!B90</f>
        <v xml:space="preserve">   Option</v>
      </c>
      <c r="B41" s="136"/>
      <c r="C41" s="136"/>
      <c r="D41" s="137"/>
    </row>
    <row r="42" spans="1:5" ht="12.75" customHeight="1">
      <c r="A42" s="69" t="str">
        <f>"      "&amp;Labels!B91</f>
        <v xml:space="preserve">      Series B</v>
      </c>
      <c r="B42" s="42">
        <f>0</f>
        <v>0</v>
      </c>
      <c r="C42" s="42">
        <f>B42</f>
        <v>0</v>
      </c>
      <c r="D42" s="138">
        <f>C42</f>
        <v>0</v>
      </c>
    </row>
    <row r="43" spans="1:5" ht="12.75" customHeight="1">
      <c r="A43" s="84" t="str">
        <f>"      "&amp;Labels!B92</f>
        <v xml:space="preserve">      Series A</v>
      </c>
      <c r="B43" s="143">
        <f>0</f>
        <v>0</v>
      </c>
      <c r="C43" s="143">
        <f>B43</f>
        <v>0</v>
      </c>
      <c r="D43" s="144">
        <f>C43</f>
        <v>0</v>
      </c>
    </row>
    <row r="45" spans="1:5" ht="12.75" customHeight="1">
      <c r="A45" s="11" t="str">
        <f>Labels!B29</f>
        <v>New Investment</v>
      </c>
      <c r="B45" s="18"/>
      <c r="C45" s="18"/>
      <c r="D45" s="18"/>
      <c r="E45" s="12"/>
    </row>
    <row r="46" spans="1:5" ht="12.75" customHeight="1">
      <c r="A46" s="13" t="str">
        <f>"   "&amp;Labels!B83</f>
        <v xml:space="preserve">   Conv Note</v>
      </c>
      <c r="B46" s="72"/>
      <c r="C46" s="72"/>
      <c r="D46" s="72"/>
      <c r="E46" s="20"/>
    </row>
    <row r="47" spans="1:5" ht="12.75" customHeight="1">
      <c r="A47" s="69" t="str">
        <f>"      "&amp;Labels!B84</f>
        <v xml:space="preserve">      Series B</v>
      </c>
      <c r="B47" s="74">
        <f>Inputs!B32</f>
        <v>0</v>
      </c>
      <c r="C47" s="74">
        <f>Inputs!C32</f>
        <v>0</v>
      </c>
      <c r="D47" s="74">
        <f>Inputs!D32</f>
        <v>0</v>
      </c>
      <c r="E47" s="20">
        <f>Inputs!E32</f>
        <v>0</v>
      </c>
    </row>
    <row r="48" spans="1:5" ht="12.75" customHeight="1">
      <c r="A48" s="69" t="str">
        <f>"      "&amp;Labels!B85</f>
        <v xml:space="preserve">      Series A</v>
      </c>
      <c r="B48" s="74">
        <f>Inputs!B33</f>
        <v>0</v>
      </c>
      <c r="C48" s="74">
        <f>Inputs!C33</f>
        <v>0</v>
      </c>
      <c r="D48" s="74">
        <f>Inputs!D33</f>
        <v>0</v>
      </c>
      <c r="E48" s="20">
        <f>Inputs!E33</f>
        <v>0</v>
      </c>
    </row>
    <row r="49" spans="1:5" ht="12.75" customHeight="1">
      <c r="A49" s="13" t="str">
        <f>"      "&amp;Labels!C83</f>
        <v xml:space="preserve">      Subtotal</v>
      </c>
      <c r="B49" s="72">
        <f>Inputs!B34</f>
        <v>0</v>
      </c>
      <c r="C49" s="72">
        <f>Inputs!C34</f>
        <v>0</v>
      </c>
      <c r="D49" s="72">
        <f>Inputs!D34</f>
        <v>0</v>
      </c>
      <c r="E49" s="20">
        <f>Inputs!E34</f>
        <v>0</v>
      </c>
    </row>
    <row r="50" spans="1:5" ht="12.75" customHeight="1">
      <c r="A50" s="13" t="str">
        <f>"   "&amp;Labels!B86</f>
        <v xml:space="preserve">   Preferred</v>
      </c>
      <c r="B50" s="72"/>
      <c r="C50" s="72"/>
      <c r="D50" s="72"/>
      <c r="E50" s="20"/>
    </row>
    <row r="51" spans="1:5" ht="12.75" customHeight="1">
      <c r="A51" s="69" t="str">
        <f>"      "&amp;Labels!B87</f>
        <v xml:space="preserve">      Series A</v>
      </c>
      <c r="B51" s="74">
        <f>Inputs!B71</f>
        <v>0</v>
      </c>
      <c r="C51" s="74">
        <f>Inputs!C71</f>
        <v>0</v>
      </c>
      <c r="D51" s="74">
        <f>Inputs!D71</f>
        <v>0</v>
      </c>
      <c r="E51" s="20">
        <f>Inputs!E71</f>
        <v>0</v>
      </c>
    </row>
    <row r="52" spans="1:5" ht="12.75" customHeight="1">
      <c r="A52" s="13" t="str">
        <f>"      "&amp;Labels!C86</f>
        <v xml:space="preserve">      Subtotal</v>
      </c>
      <c r="B52" s="72">
        <f>Inputs!B72</f>
        <v>0</v>
      </c>
      <c r="C52" s="72">
        <f>Inputs!C72</f>
        <v>0</v>
      </c>
      <c r="D52" s="72">
        <f>Inputs!D72</f>
        <v>0</v>
      </c>
      <c r="E52" s="20">
        <f>Inputs!E72</f>
        <v>0</v>
      </c>
    </row>
    <row r="53" spans="1:5" ht="12.75" customHeight="1">
      <c r="A53" s="13" t="str">
        <f>"   "&amp;Labels!B88</f>
        <v xml:space="preserve">   Common</v>
      </c>
      <c r="B53" s="72">
        <f>Inputs!B95</f>
        <v>100000</v>
      </c>
      <c r="C53" s="72">
        <f>Inputs!C95</f>
        <v>0</v>
      </c>
      <c r="D53" s="72">
        <f>Inputs!D95</f>
        <v>0</v>
      </c>
      <c r="E53" s="20">
        <f>Inputs!E95</f>
        <v>100000</v>
      </c>
    </row>
    <row r="54" spans="1:5" ht="12.75" customHeight="1">
      <c r="A54" s="13" t="str">
        <f>"   "&amp;Labels!B89</f>
        <v xml:space="preserve">   Warrant</v>
      </c>
      <c r="B54" s="145">
        <f>0</f>
        <v>0</v>
      </c>
      <c r="C54" s="145">
        <f>0</f>
        <v>0</v>
      </c>
      <c r="D54" s="145">
        <f>0</f>
        <v>0</v>
      </c>
      <c r="E54" s="20">
        <f>SUM(B54:D54)</f>
        <v>0</v>
      </c>
    </row>
    <row r="55" spans="1:5" ht="12.75" customHeight="1">
      <c r="A55" s="13" t="str">
        <f>"   "&amp;Labels!B90</f>
        <v xml:space="preserve">   Option</v>
      </c>
      <c r="B55" s="72"/>
      <c r="C55" s="72"/>
      <c r="D55" s="72"/>
      <c r="E55" s="20"/>
    </row>
    <row r="56" spans="1:5" ht="12.75" customHeight="1">
      <c r="A56" s="69" t="str">
        <f>"      "&amp;Labels!B91</f>
        <v xml:space="preserve">      Series B</v>
      </c>
      <c r="B56" s="19">
        <f>0</f>
        <v>0</v>
      </c>
      <c r="C56" s="19">
        <f>0</f>
        <v>0</v>
      </c>
      <c r="D56" s="19">
        <f>0</f>
        <v>0</v>
      </c>
      <c r="E56" s="20">
        <f>SUM(B56:D56)</f>
        <v>0</v>
      </c>
    </row>
    <row r="57" spans="1:5" ht="12.75" customHeight="1">
      <c r="A57" s="69" t="str">
        <f>"      "&amp;Labels!B92</f>
        <v xml:space="preserve">      Series A</v>
      </c>
      <c r="B57" s="19">
        <f>0</f>
        <v>0</v>
      </c>
      <c r="C57" s="19">
        <f>0</f>
        <v>0</v>
      </c>
      <c r="D57" s="19">
        <f>0</f>
        <v>0</v>
      </c>
      <c r="E57" s="20">
        <f>SUM(B57:D57)</f>
        <v>0</v>
      </c>
    </row>
    <row r="58" spans="1:5" ht="12.75" customHeight="1">
      <c r="A58" s="13" t="str">
        <f>"      "&amp;Labels!C90</f>
        <v xml:space="preserve">      Subtotal</v>
      </c>
      <c r="B58" s="72">
        <f>SUM(B56:B57)</f>
        <v>0</v>
      </c>
      <c r="C58" s="72">
        <f>SUM(C56:C57)</f>
        <v>0</v>
      </c>
      <c r="D58" s="72">
        <f>SUM(D56:D57)</f>
        <v>0</v>
      </c>
      <c r="E58" s="20">
        <f>SUM(E56:E57)</f>
        <v>0</v>
      </c>
    </row>
    <row r="59" spans="1:5" ht="12.75" customHeight="1">
      <c r="A59" s="21" t="str">
        <f>"   "&amp;Labels!C82</f>
        <v xml:space="preserve">   Total</v>
      </c>
      <c r="B59" s="22">
        <f>SUM(Inputs!B34,Inputs!B72,Inputs!B95,B54,B58)</f>
        <v>100000</v>
      </c>
      <c r="C59" s="22">
        <f>SUM(Inputs!C34,Inputs!C72,Inputs!C95,C54,C58)</f>
        <v>0</v>
      </c>
      <c r="D59" s="22">
        <f>SUM(Inputs!D34,Inputs!D72,Inputs!D95,D54,D58)</f>
        <v>0</v>
      </c>
      <c r="E59" s="23">
        <f>SUM(Inputs!E34,Inputs!E72,Inputs!E95,E54,E58)</f>
        <v>100000</v>
      </c>
    </row>
    <row r="61" spans="1:5" ht="12.75" customHeight="1">
      <c r="A61" s="11" t="str">
        <f>Labels!B60</f>
        <v>New Units</v>
      </c>
      <c r="B61" s="78"/>
      <c r="C61" s="78"/>
      <c r="D61" s="78"/>
      <c r="E61" s="87"/>
    </row>
    <row r="62" spans="1:5" ht="12.75" customHeight="1">
      <c r="A62" s="13" t="str">
        <f>"   "&amp;Labels!B83</f>
        <v xml:space="preserve">   Conv Note</v>
      </c>
      <c r="B62" s="80"/>
      <c r="C62" s="80"/>
      <c r="D62" s="80"/>
      <c r="E62" s="62"/>
    </row>
    <row r="63" spans="1:5" ht="12.75" customHeight="1">
      <c r="A63" s="69" t="str">
        <f>"      "&amp;Labels!B84</f>
        <v xml:space="preserve">      Series B</v>
      </c>
      <c r="B63" s="63">
        <f t="shared" ref="B63:D64" si="0">0/3/10</f>
        <v>0</v>
      </c>
      <c r="C63" s="63">
        <f t="shared" si="0"/>
        <v>0</v>
      </c>
      <c r="D63" s="63">
        <f t="shared" si="0"/>
        <v>0</v>
      </c>
      <c r="E63" s="62">
        <f>SUM(B63:D63)</f>
        <v>0</v>
      </c>
    </row>
    <row r="64" spans="1:5" ht="12.75" customHeight="1">
      <c r="A64" s="69" t="str">
        <f>"      "&amp;Labels!B85</f>
        <v xml:space="preserve">      Series A</v>
      </c>
      <c r="B64" s="63">
        <f t="shared" si="0"/>
        <v>0</v>
      </c>
      <c r="C64" s="63">
        <f t="shared" si="0"/>
        <v>0</v>
      </c>
      <c r="D64" s="63">
        <f t="shared" si="0"/>
        <v>0</v>
      </c>
      <c r="E64" s="62">
        <f>SUM(B64:D64)</f>
        <v>0</v>
      </c>
    </row>
    <row r="65" spans="1:5" ht="12.75" customHeight="1">
      <c r="A65" s="13" t="str">
        <f>"      "&amp;Labels!C83</f>
        <v xml:space="preserve">      Subtotal</v>
      </c>
      <c r="B65" s="80">
        <f>SUM(B63:B64)</f>
        <v>0</v>
      </c>
      <c r="C65" s="80">
        <f>SUM(C63:C64)</f>
        <v>0</v>
      </c>
      <c r="D65" s="80">
        <f>SUM(D63:D64)</f>
        <v>0</v>
      </c>
      <c r="E65" s="62">
        <f>SUM(E63:E64)</f>
        <v>0</v>
      </c>
    </row>
    <row r="66" spans="1:5" ht="12.75" customHeight="1">
      <c r="A66" s="13" t="str">
        <f>"   "&amp;Labels!B86</f>
        <v xml:space="preserve">   Preferred</v>
      </c>
      <c r="B66" s="80"/>
      <c r="C66" s="80"/>
      <c r="D66" s="80"/>
      <c r="E66" s="62"/>
    </row>
    <row r="67" spans="1:5" ht="12.75" customHeight="1">
      <c r="A67" s="69" t="str">
        <f>"      "&amp;Labels!B87</f>
        <v xml:space="preserve">      Series A</v>
      </c>
      <c r="B67" s="63">
        <f>0/3/5</f>
        <v>0</v>
      </c>
      <c r="C67" s="63">
        <f>0/3/5</f>
        <v>0</v>
      </c>
      <c r="D67" s="63">
        <f>0/3/5</f>
        <v>0</v>
      </c>
      <c r="E67" s="62">
        <f>SUM(B67:D67)</f>
        <v>0</v>
      </c>
    </row>
    <row r="68" spans="1:5" ht="12.75" customHeight="1">
      <c r="A68" s="13" t="str">
        <f>"      "&amp;Labels!C86</f>
        <v xml:space="preserve">      Subtotal</v>
      </c>
      <c r="B68" s="80">
        <f>B67</f>
        <v>0</v>
      </c>
      <c r="C68" s="80">
        <f>C67</f>
        <v>0</v>
      </c>
      <c r="D68" s="80">
        <f>D67</f>
        <v>0</v>
      </c>
      <c r="E68" s="62">
        <f>E67</f>
        <v>0</v>
      </c>
    </row>
    <row r="69" spans="1:5" ht="12.75" customHeight="1">
      <c r="A69" s="13" t="str">
        <f>"   "&amp;Labels!B88</f>
        <v xml:space="preserve">   Common</v>
      </c>
      <c r="B69" s="146">
        <f t="shared" ref="B69:D70" si="1">0/3/5</f>
        <v>0</v>
      </c>
      <c r="C69" s="146">
        <f t="shared" si="1"/>
        <v>0</v>
      </c>
      <c r="D69" s="146">
        <f t="shared" si="1"/>
        <v>0</v>
      </c>
      <c r="E69" s="62">
        <f>SUM(B69:D69)</f>
        <v>0</v>
      </c>
    </row>
    <row r="70" spans="1:5" ht="12.75" customHeight="1">
      <c r="A70" s="13" t="str">
        <f>"   "&amp;Labels!B89</f>
        <v xml:space="preserve">   Warrant</v>
      </c>
      <c r="B70" s="146">
        <f t="shared" si="1"/>
        <v>0</v>
      </c>
      <c r="C70" s="146">
        <f t="shared" si="1"/>
        <v>0</v>
      </c>
      <c r="D70" s="146">
        <f t="shared" si="1"/>
        <v>0</v>
      </c>
      <c r="E70" s="62">
        <f>SUM(B70:D70)</f>
        <v>0</v>
      </c>
    </row>
    <row r="71" spans="1:5" ht="12.75" customHeight="1">
      <c r="A71" s="13" t="str">
        <f>"   "&amp;Labels!B90</f>
        <v xml:space="preserve">   Option</v>
      </c>
      <c r="B71" s="80"/>
      <c r="C71" s="80"/>
      <c r="D71" s="80"/>
      <c r="E71" s="62"/>
    </row>
    <row r="72" spans="1:5" ht="12.75" customHeight="1">
      <c r="A72" s="69" t="str">
        <f>"      "&amp;Labels!B91</f>
        <v xml:space="preserve">      Series B</v>
      </c>
      <c r="B72" s="88">
        <f>Inputs!B120</f>
        <v>0</v>
      </c>
      <c r="C72" s="88">
        <f>Inputs!C120</f>
        <v>0</v>
      </c>
      <c r="D72" s="88">
        <f>Inputs!D120</f>
        <v>0</v>
      </c>
      <c r="E72" s="62">
        <f>Inputs!E120</f>
        <v>0</v>
      </c>
    </row>
    <row r="73" spans="1:5" ht="12.75" customHeight="1">
      <c r="A73" s="69" t="str">
        <f>"      "&amp;Labels!B92</f>
        <v xml:space="preserve">      Series A</v>
      </c>
      <c r="B73" s="88">
        <f>Inputs!B121</f>
        <v>0</v>
      </c>
      <c r="C73" s="88">
        <f>Inputs!C121</f>
        <v>0</v>
      </c>
      <c r="D73" s="88">
        <f>Inputs!D121</f>
        <v>0</v>
      </c>
      <c r="E73" s="62">
        <f>Inputs!E121</f>
        <v>0</v>
      </c>
    </row>
    <row r="74" spans="1:5" ht="12.75" customHeight="1">
      <c r="A74" s="13" t="str">
        <f>"      "&amp;Labels!C90</f>
        <v xml:space="preserve">      Subtotal</v>
      </c>
      <c r="B74" s="80">
        <f>Inputs!B122</f>
        <v>0</v>
      </c>
      <c r="C74" s="80">
        <f>Inputs!C122</f>
        <v>0</v>
      </c>
      <c r="D74" s="80">
        <f>Inputs!D122</f>
        <v>0</v>
      </c>
      <c r="E74" s="62">
        <f>Inputs!E122</f>
        <v>0</v>
      </c>
    </row>
    <row r="75" spans="1:5" ht="12.75" customHeight="1">
      <c r="A75" s="21" t="str">
        <f>"   "&amp;Labels!C82</f>
        <v xml:space="preserve">   Total</v>
      </c>
      <c r="B75" s="64">
        <f>SUM(B65,B68:B70,Inputs!B122)</f>
        <v>0</v>
      </c>
      <c r="C75" s="64">
        <f>SUM(C65,C68:C70,Inputs!C122)</f>
        <v>0</v>
      </c>
      <c r="D75" s="64">
        <f>SUM(D65,D68:D70,Inputs!D122)</f>
        <v>0</v>
      </c>
      <c r="E75" s="65">
        <f>SUM(E65,E68:E70,Inputs!E122)</f>
        <v>0</v>
      </c>
    </row>
    <row r="78" spans="1:5" ht="12.75" customHeight="1">
      <c r="A78" s="11" t="str">
        <f>Labels!B31</f>
        <v>IRR Initial Guess (Yr)</v>
      </c>
      <c r="B78" s="38"/>
    </row>
    <row r="79" spans="1:5" ht="12.75" customHeight="1">
      <c r="A79" s="13" t="str">
        <f>"   "&amp;Labels!B83</f>
        <v xml:space="preserve">   Conv Note</v>
      </c>
      <c r="B79" s="30"/>
    </row>
    <row r="80" spans="1:5" ht="12.75" customHeight="1">
      <c r="A80" s="69" t="str">
        <f>"      "&amp;Labels!B84</f>
        <v xml:space="preserve">      Series B</v>
      </c>
      <c r="B80" s="30">
        <f>Inputs!E56</f>
        <v>0.5</v>
      </c>
    </row>
    <row r="81" spans="1:2" ht="12.75" customHeight="1">
      <c r="A81" s="69" t="str">
        <f>"      "&amp;Labels!B85</f>
        <v xml:space="preserve">      Series A</v>
      </c>
      <c r="B81" s="30">
        <f>Inputs!E57</f>
        <v>0.5</v>
      </c>
    </row>
    <row r="82" spans="1:2" ht="12.75" customHeight="1">
      <c r="A82" s="13" t="str">
        <f>"      "&amp;Labels!C83</f>
        <v xml:space="preserve">      Subtotal</v>
      </c>
      <c r="B82" s="30">
        <f>Inputs!E58</f>
        <v>0.5</v>
      </c>
    </row>
    <row r="83" spans="1:2" ht="12.75" customHeight="1">
      <c r="A83" s="13" t="str">
        <f>"   "&amp;Labels!B86</f>
        <v xml:space="preserve">   Preferred</v>
      </c>
      <c r="B83" s="30"/>
    </row>
    <row r="84" spans="1:2" ht="12.75" customHeight="1">
      <c r="A84" s="69" t="str">
        <f>"      "&amp;Labels!B87</f>
        <v xml:space="preserve">      Series A</v>
      </c>
      <c r="B84" s="31">
        <f>0.5</f>
        <v>0.5</v>
      </c>
    </row>
    <row r="85" spans="1:2" ht="12.75" customHeight="1">
      <c r="A85" s="13" t="str">
        <f>"      "&amp;Labels!C86</f>
        <v xml:space="preserve">      Subtotal</v>
      </c>
      <c r="B85" s="30">
        <f>B84</f>
        <v>0.5</v>
      </c>
    </row>
    <row r="86" spans="1:2" ht="12.75" customHeight="1">
      <c r="A86" s="13" t="str">
        <f>"   "&amp;Labels!B88</f>
        <v xml:space="preserve">   Common</v>
      </c>
      <c r="B86" s="30">
        <f>Inputs!E102</f>
        <v>0.5</v>
      </c>
    </row>
    <row r="87" spans="1:2" ht="12.75" customHeight="1">
      <c r="A87" s="13" t="str">
        <f>"   "&amp;Labels!B89</f>
        <v xml:space="preserve">   Warrant</v>
      </c>
      <c r="B87" s="31">
        <f>0.5</f>
        <v>0.5</v>
      </c>
    </row>
    <row r="88" spans="1:2" ht="12.75" customHeight="1">
      <c r="A88" s="13" t="str">
        <f>"   "&amp;Labels!B90</f>
        <v xml:space="preserve">   Option</v>
      </c>
      <c r="B88" s="30"/>
    </row>
    <row r="89" spans="1:2" ht="12.75" customHeight="1">
      <c r="A89" s="69" t="str">
        <f>"      "&amp;Labels!B91</f>
        <v xml:space="preserve">      Series B</v>
      </c>
      <c r="B89" s="30">
        <f>Inputs!E136</f>
        <v>0.5</v>
      </c>
    </row>
    <row r="90" spans="1:2" ht="12.75" customHeight="1">
      <c r="A90" s="69" t="str">
        <f>"      "&amp;Labels!B92</f>
        <v xml:space="preserve">      Series A</v>
      </c>
      <c r="B90" s="30">
        <f>Inputs!E137</f>
        <v>0.5</v>
      </c>
    </row>
    <row r="91" spans="1:2" ht="12.75" customHeight="1">
      <c r="A91" s="13" t="str">
        <f>"      "&amp;Labels!C90</f>
        <v xml:space="preserve">      Subtotal</v>
      </c>
      <c r="B91" s="30">
        <f>Inputs!E138</f>
        <v>0.5</v>
      </c>
    </row>
    <row r="92" spans="1:2" ht="12.75" customHeight="1">
      <c r="A92" s="21" t="str">
        <f>"   "&amp;Labels!C82</f>
        <v xml:space="preserve">   Total</v>
      </c>
      <c r="B92" s="40">
        <f>AVERAGE(Inputs!E58,Inputs!E102,Inputs!E138,B85,B87)</f>
        <v>0.5</v>
      </c>
    </row>
  </sheetData>
  <mergeCells count="6">
    <mergeCell ref="A6:D6"/>
    <mergeCell ref="A1:D1"/>
    <mergeCell ref="A2:D2"/>
    <mergeCell ref="A3:D3"/>
    <mergeCell ref="A4:D4"/>
    <mergeCell ref="A5:D5"/>
  </mergeCells>
  <pageMargins left="0.75" right="0.75" top="1" bottom="1" header="0.5" footer="0.5"/>
  <pageSetup paperSize="9" orientation="landscape" horizontalDpi="0" verticalDpi="0" copies="0"/>
  <headerFooter alignWithMargins="0"/>
  <legacyDrawing r:id="rId1"/>
</worksheet>
</file>

<file path=xl/worksheets/sheet12.xml><?xml version="1.0" encoding="utf-8"?>
<worksheet xmlns="http://schemas.openxmlformats.org/spreadsheetml/2006/main" xmlns:r="http://schemas.openxmlformats.org/officeDocument/2006/relationships">
  <sheetPr>
    <outlinePr summaryBelow="0" summaryRight="0"/>
  </sheetPr>
  <dimension ref="A1:E324"/>
  <sheetViews>
    <sheetView workbookViewId="0"/>
  </sheetViews>
  <sheetFormatPr defaultRowHeight="12.75" customHeight="1"/>
  <cols>
    <col min="1" max="1" width="24.140625" customWidth="1"/>
    <col min="2" max="2" width="11.5703125" customWidth="1"/>
    <col min="3" max="4" width="10.5703125" customWidth="1"/>
    <col min="5" max="5" width="9.42578125" customWidth="1"/>
  </cols>
  <sheetData>
    <row r="1" spans="1:4" ht="12.75" customHeight="1">
      <c r="A1" s="214" t="str">
        <f>"Capitalization Table"</f>
        <v>Capitalization Table</v>
      </c>
      <c r="B1" s="214"/>
      <c r="C1" s="214"/>
      <c r="D1" s="214"/>
    </row>
    <row r="2" spans="1:4" ht="12.75" customHeight="1">
      <c r="A2" s="214" t="str">
        <f>Inputs!B8</f>
        <v>ABC Corp.</v>
      </c>
      <c r="B2" s="214"/>
      <c r="C2" s="214"/>
      <c r="D2" s="214"/>
    </row>
    <row r="3" spans="1:4" ht="12.75" customHeight="1">
      <c r="A3" s="214" t="str">
        <f>IF("(Other Computations)"="(Default Input)","Ignore this sheet in normal use.","Investment Scenario "&amp;1&amp;", Valuation Scenario "&amp;1)</f>
        <v>Investment Scenario 1, Valuation Scenario 1</v>
      </c>
      <c r="B3" s="214"/>
      <c r="C3" s="214"/>
      <c r="D3" s="214"/>
    </row>
    <row r="4" spans="1:4" ht="12.75" customHeight="1">
      <c r="A4" s="1" t="str">
        <f>Labels!B38</f>
        <v>Exercise Price</v>
      </c>
    </row>
    <row r="5" spans="1:4" ht="12.75" customHeight="1">
      <c r="A5" s="147" t="str">
        <f>Labels!D83</f>
        <v>Security</v>
      </c>
      <c r="B5" s="17"/>
    </row>
    <row r="6" spans="1:4" ht="12.75" customHeight="1">
      <c r="A6" s="11" t="str">
        <f>Labels!B83</f>
        <v>Conv Note</v>
      </c>
      <c r="B6" s="148"/>
    </row>
    <row r="7" spans="1:4" ht="12.75" customHeight="1">
      <c r="A7" s="13" t="str">
        <f>"   "&amp;Labels!B84</f>
        <v xml:space="preserve">   Series B</v>
      </c>
      <c r="B7" s="149">
        <f>0</f>
        <v>0</v>
      </c>
    </row>
    <row r="8" spans="1:4" ht="12.75" customHeight="1">
      <c r="A8" s="13" t="str">
        <f>"   "&amp;Labels!B85</f>
        <v xml:space="preserve">   Series A</v>
      </c>
      <c r="B8" s="149">
        <f>0</f>
        <v>0</v>
      </c>
    </row>
    <row r="9" spans="1:4" ht="12.75" customHeight="1">
      <c r="A9" s="29" t="str">
        <f>Labels!B86</f>
        <v>Preferred</v>
      </c>
      <c r="B9" s="150"/>
    </row>
    <row r="10" spans="1:4" ht="12.75" customHeight="1">
      <c r="A10" s="13" t="str">
        <f>"   "&amp;Labels!B87</f>
        <v xml:space="preserve">   Series A</v>
      </c>
      <c r="B10" s="149">
        <f>0</f>
        <v>0</v>
      </c>
    </row>
    <row r="11" spans="1:4" ht="12.75" customHeight="1">
      <c r="A11" s="29" t="str">
        <f>Labels!B88</f>
        <v>Common</v>
      </c>
      <c r="B11" s="150">
        <f>0</f>
        <v>0</v>
      </c>
    </row>
    <row r="12" spans="1:4" ht="12.75" customHeight="1">
      <c r="A12" s="29" t="str">
        <f>Labels!B89</f>
        <v>Warrant</v>
      </c>
      <c r="B12" s="150">
        <f>0</f>
        <v>0</v>
      </c>
    </row>
    <row r="13" spans="1:4" ht="12.75" customHeight="1">
      <c r="A13" s="29" t="str">
        <f>Labels!B90</f>
        <v>Option</v>
      </c>
      <c r="B13" s="150"/>
    </row>
    <row r="14" spans="1:4" ht="12.75" customHeight="1">
      <c r="A14" s="13" t="str">
        <f>"   "&amp;Labels!B91</f>
        <v xml:space="preserve">   Series B</v>
      </c>
      <c r="B14" s="149">
        <f>Inputs!B126</f>
        <v>0</v>
      </c>
    </row>
    <row r="15" spans="1:4" ht="12.75" customHeight="1">
      <c r="A15" s="15" t="str">
        <f>"   "&amp;Labels!B92</f>
        <v xml:space="preserve">   Series A</v>
      </c>
      <c r="B15" s="151">
        <f>Inputs!B127</f>
        <v>0</v>
      </c>
    </row>
    <row r="16" spans="1:4" ht="12.75" customHeight="1">
      <c r="A16" s="1" t="str">
        <f>Labels!B52</f>
        <v>Share Price</v>
      </c>
    </row>
    <row r="17" spans="1:5" ht="12.75" customHeight="1">
      <c r="A17" s="147" t="str">
        <f>Labels!D83</f>
        <v>Security</v>
      </c>
      <c r="B17" s="6" t="str">
        <f>Labels!B78</f>
        <v>Seed</v>
      </c>
      <c r="C17" s="7" t="str">
        <f>Labels!B79</f>
        <v>Round A</v>
      </c>
      <c r="D17" s="7" t="str">
        <f>Labels!B80</f>
        <v>Exit</v>
      </c>
      <c r="E17" s="17" t="str">
        <f>Labels!C77</f>
        <v>Total</v>
      </c>
    </row>
    <row r="18" spans="1:5" ht="12.75" customHeight="1">
      <c r="A18" s="11" t="str">
        <f>Labels!B83</f>
        <v>Conv Note</v>
      </c>
      <c r="B18" s="152"/>
      <c r="C18" s="152"/>
      <c r="D18" s="152"/>
      <c r="E18" s="153"/>
    </row>
    <row r="19" spans="1:5" ht="12.75" customHeight="1">
      <c r="A19" s="13" t="str">
        <f>"   "&amp;Labels!B84</f>
        <v xml:space="preserve">   Series B</v>
      </c>
      <c r="B19" s="154">
        <f>0</f>
        <v>0</v>
      </c>
      <c r="C19" s="154">
        <f>0</f>
        <v>0</v>
      </c>
      <c r="D19" s="154">
        <f>0</f>
        <v>0</v>
      </c>
      <c r="E19" s="155" t="str">
        <f>""</f>
        <v/>
      </c>
    </row>
    <row r="20" spans="1:5" ht="12.75" customHeight="1">
      <c r="A20" s="13" t="str">
        <f>"   "&amp;Labels!B85</f>
        <v xml:space="preserve">   Series A</v>
      </c>
      <c r="B20" s="154">
        <f>0</f>
        <v>0</v>
      </c>
      <c r="C20" s="154">
        <f>0</f>
        <v>0</v>
      </c>
      <c r="D20" s="154">
        <f>0</f>
        <v>0</v>
      </c>
      <c r="E20" s="155" t="str">
        <f>""</f>
        <v/>
      </c>
    </row>
    <row r="21" spans="1:5" ht="12.75" customHeight="1">
      <c r="A21" s="29" t="str">
        <f>"   "&amp;Labels!C83</f>
        <v xml:space="preserve">   Subtotal</v>
      </c>
      <c r="B21" s="156">
        <f>IF(SUM(B112:B113)=0,0,SUMPRODUCT(B19:B20,B112:B113)/SUM(B112:B113))</f>
        <v>0</v>
      </c>
      <c r="C21" s="156">
        <f>IF(SUM(C112:C113)=0,0,SUMPRODUCT(C19:C20,C112:C113)/SUM(C112:C113))</f>
        <v>0</v>
      </c>
      <c r="D21" s="156">
        <f>IF(SUM(D112:D113)=0,0,SUMPRODUCT(D19:D20,D112:D113)/SUM(D112:D113))</f>
        <v>0</v>
      </c>
      <c r="E21" s="155" t="str">
        <f>""</f>
        <v/>
      </c>
    </row>
    <row r="22" spans="1:5" ht="12.75" customHeight="1">
      <c r="A22" s="29" t="str">
        <f>Labels!B86</f>
        <v>Preferred</v>
      </c>
      <c r="B22" s="156"/>
      <c r="C22" s="156"/>
      <c r="D22" s="156"/>
      <c r="E22" s="155"/>
    </row>
    <row r="23" spans="1:5" ht="12.75" customHeight="1">
      <c r="A23" s="13" t="str">
        <f>"   "&amp;Labels!B87</f>
        <v xml:space="preserve">   Series A</v>
      </c>
      <c r="B23" s="154">
        <f>B25*1+B25*Inputs!B68</f>
        <v>1.1000000000000001</v>
      </c>
      <c r="C23" s="154">
        <f>C25*1+C25*Inputs!C68</f>
        <v>29.04</v>
      </c>
      <c r="D23" s="154">
        <f>D25*1+D25*Inputs!D68</f>
        <v>79.42</v>
      </c>
      <c r="E23" s="155" t="str">
        <f>""</f>
        <v/>
      </c>
    </row>
    <row r="24" spans="1:5" ht="12.75" customHeight="1">
      <c r="A24" s="29" t="str">
        <f>"   "&amp;Labels!C86</f>
        <v xml:space="preserve">   Subtotal</v>
      </c>
      <c r="B24" s="156">
        <f>IF(SUM(B116)=0,0,SUMPRODUCT(B23,B116)/SUM(B116))</f>
        <v>0</v>
      </c>
      <c r="C24" s="156">
        <f>IF(SUM(C116)=0,0,SUMPRODUCT(C23,C116)/SUM(C116))</f>
        <v>0</v>
      </c>
      <c r="D24" s="156">
        <f>IF(SUM(D116)=0,0,SUMPRODUCT(D23,D116)/SUM(D116))</f>
        <v>0</v>
      </c>
      <c r="E24" s="155" t="str">
        <f>""</f>
        <v/>
      </c>
    </row>
    <row r="25" spans="1:5" ht="12.75" customHeight="1">
      <c r="A25" s="29" t="str">
        <f>Labels!B88</f>
        <v>Common</v>
      </c>
      <c r="B25" s="156">
        <f>IF(1=1,Inputs!B92,Valuation!B10/(Shares!B56+Shares!B58+Shares!B62+Shares!B57)+(-Investment!B55)/(Shares!B56+Shares!B58+Shares!B62+Shares!B57)+(-Investment!B58)/(Shares!B56+Shares!B58+Shares!B62+Shares!B57))</f>
        <v>1</v>
      </c>
      <c r="C25" s="156">
        <f>IF(2=1,Inputs!B92,Valuation!C10/(Shares!C56+Shares!C58+Shares!C62+Shares!C57)+(-Investment!C55)/(Shares!C56+Shares!C58+Shares!C62+Shares!C57)+(-Investment!C58)/(Shares!C56+Shares!C58+Shares!C62+Shares!C57))</f>
        <v>26.4</v>
      </c>
      <c r="D25" s="156">
        <f>IF(3=1,Inputs!B92,Valuation!D10/(Shares!D56+Shares!D58+Shares!D62+Shares!D57)+(-Investment!D55)/(Shares!D56+Shares!D58+Shares!D62+Shares!D57)+(-Investment!D58)/(Shares!D56+Shares!D58+Shares!D62+Shares!D57))</f>
        <v>72.2</v>
      </c>
      <c r="E25" s="155" t="str">
        <f>""</f>
        <v/>
      </c>
    </row>
    <row r="26" spans="1:5" ht="12.75" customHeight="1">
      <c r="A26" s="29" t="str">
        <f>Labels!B89</f>
        <v>Warrant</v>
      </c>
      <c r="B26" s="156">
        <f>MAX(0,B25-B12)</f>
        <v>1</v>
      </c>
      <c r="C26" s="156">
        <f>MAX(0,C25-B12)</f>
        <v>26.4</v>
      </c>
      <c r="D26" s="156">
        <f>MAX(0,D25-B12)</f>
        <v>72.2</v>
      </c>
      <c r="E26" s="155" t="str">
        <f>""</f>
        <v/>
      </c>
    </row>
    <row r="27" spans="1:5" ht="12.75" customHeight="1">
      <c r="A27" s="29" t="str">
        <f>Labels!B90</f>
        <v>Option</v>
      </c>
      <c r="B27" s="156"/>
      <c r="C27" s="156"/>
      <c r="D27" s="156"/>
      <c r="E27" s="155"/>
    </row>
    <row r="28" spans="1:5" ht="12.75" customHeight="1">
      <c r="A28" s="13" t="str">
        <f>"   "&amp;Labels!B91</f>
        <v xml:space="preserve">   Series B</v>
      </c>
      <c r="B28" s="154">
        <f>MAX(0,B25-Inputs!B126)</f>
        <v>1</v>
      </c>
      <c r="C28" s="154">
        <f>MAX(0,C25-Inputs!B126)</f>
        <v>26.4</v>
      </c>
      <c r="D28" s="154">
        <f>MAX(0,D25-Inputs!B126)</f>
        <v>72.2</v>
      </c>
      <c r="E28" s="155" t="str">
        <f>""</f>
        <v/>
      </c>
    </row>
    <row r="29" spans="1:5" ht="12.75" customHeight="1">
      <c r="A29" s="13" t="str">
        <f>"   "&amp;Labels!B92</f>
        <v xml:space="preserve">   Series A</v>
      </c>
      <c r="B29" s="154">
        <f>MAX(0,B25-Inputs!B127)</f>
        <v>1</v>
      </c>
      <c r="C29" s="154">
        <f>MAX(0,C25-Inputs!B127)</f>
        <v>26.4</v>
      </c>
      <c r="D29" s="154">
        <f>MAX(0,D25-Inputs!B127)</f>
        <v>72.2</v>
      </c>
      <c r="E29" s="155" t="str">
        <f>""</f>
        <v/>
      </c>
    </row>
    <row r="30" spans="1:5" ht="12.75" customHeight="1">
      <c r="A30" s="29" t="str">
        <f>"   "&amp;Labels!C90</f>
        <v xml:space="preserve">   Subtotal</v>
      </c>
      <c r="B30" s="156">
        <f>IF(SUM(B121:B122)=0,0,SUMPRODUCT(B28:B29,B121:B122)/SUM(B121:B122))</f>
        <v>0</v>
      </c>
      <c r="C30" s="156">
        <f>IF(SUM(C121:C122)=0,0,SUMPRODUCT(C28:C29,C121:C122)/SUM(C121:C122))</f>
        <v>0</v>
      </c>
      <c r="D30" s="156">
        <f>IF(SUM(D121:D122)=0,0,SUMPRODUCT(D28:D29,D121:D122)/SUM(D121:D122))</f>
        <v>0</v>
      </c>
      <c r="E30" s="155" t="str">
        <f>""</f>
        <v/>
      </c>
    </row>
    <row r="31" spans="1:5" ht="12.75" customHeight="1">
      <c r="A31" s="4" t="str">
        <f>Labels!C82</f>
        <v>Total</v>
      </c>
      <c r="B31" s="157">
        <f>IF(SUM(B114,B117:B119,B123)=0,0,ZZZ__FnCalls!A15/SUM(B114,B117:B119,B123))</f>
        <v>0</v>
      </c>
      <c r="C31" s="157">
        <f>IF(SUM(C114,C117:C119,C123)=0,0,ZZZ__FnCalls!A19/SUM(C114,C117:C119,C123))</f>
        <v>0</v>
      </c>
      <c r="D31" s="157">
        <f>IF(SUM(D114,D117:D119,D123)=0,0,ZZZ__FnCalls!A23/SUM(D114,D117:D119,D123))</f>
        <v>0</v>
      </c>
      <c r="E31" s="158" t="str">
        <f>""</f>
        <v/>
      </c>
    </row>
    <row r="32" spans="1:5" ht="12.75" customHeight="1">
      <c r="A32" s="1" t="str">
        <f>Labels!B37</f>
        <v>Exercise Amt</v>
      </c>
    </row>
    <row r="33" spans="1:5" ht="12.75" customHeight="1">
      <c r="A33" s="147" t="str">
        <f>Labels!D71</f>
        <v>Phase</v>
      </c>
      <c r="B33" s="6" t="str">
        <f>Labels!B78</f>
        <v>Seed</v>
      </c>
      <c r="C33" s="7" t="str">
        <f>Labels!B79</f>
        <v>Round A</v>
      </c>
      <c r="D33" s="7" t="str">
        <f>Labels!B80</f>
        <v>Exit</v>
      </c>
      <c r="E33" s="17" t="str">
        <f>Labels!C77</f>
        <v>Total</v>
      </c>
    </row>
    <row r="34" spans="1:5" ht="12.75" customHeight="1">
      <c r="A34" s="11" t="str">
        <f>Labels!B71</f>
        <v>Start</v>
      </c>
      <c r="B34" s="18"/>
      <c r="C34" s="18"/>
      <c r="D34" s="18"/>
      <c r="E34" s="12"/>
    </row>
    <row r="35" spans="1:5" ht="12.75" customHeight="1">
      <c r="A35" s="13" t="str">
        <f>"   "&amp;Labels!B83</f>
        <v xml:space="preserve">   Conv Note</v>
      </c>
      <c r="B35" s="72"/>
      <c r="C35" s="72"/>
      <c r="D35" s="72"/>
      <c r="E35" s="20"/>
    </row>
    <row r="36" spans="1:5" ht="12.75" customHeight="1">
      <c r="A36" s="69" t="str">
        <f>"      "&amp;Labels!B84</f>
        <v xml:space="preserve">      Series B</v>
      </c>
      <c r="B36" s="74">
        <f>0</f>
        <v>0</v>
      </c>
      <c r="C36" s="74">
        <f>B96</f>
        <v>0</v>
      </c>
      <c r="D36" s="74">
        <f>C96</f>
        <v>0</v>
      </c>
      <c r="E36" s="20">
        <f>SUM(B36:D36)</f>
        <v>0</v>
      </c>
    </row>
    <row r="37" spans="1:5" ht="12.75" customHeight="1">
      <c r="A37" s="69" t="str">
        <f>"      "&amp;Labels!B85</f>
        <v xml:space="preserve">      Series A</v>
      </c>
      <c r="B37" s="74">
        <f>0</f>
        <v>0</v>
      </c>
      <c r="C37" s="74">
        <f>B97</f>
        <v>0</v>
      </c>
      <c r="D37" s="74">
        <f>C97</f>
        <v>0</v>
      </c>
      <c r="E37" s="20">
        <f>SUM(B37:D37)</f>
        <v>0</v>
      </c>
    </row>
    <row r="38" spans="1:5" ht="12.75" customHeight="1">
      <c r="A38" s="13" t="str">
        <f>"      "&amp;Labels!C83</f>
        <v xml:space="preserve">      Subtotal</v>
      </c>
      <c r="B38" s="72">
        <f>SUM(B36:B37)</f>
        <v>0</v>
      </c>
      <c r="C38" s="72">
        <f>SUM(C36:C37)</f>
        <v>0</v>
      </c>
      <c r="D38" s="72">
        <f>SUM(D36:D37)</f>
        <v>0</v>
      </c>
      <c r="E38" s="20">
        <f>SUM(E36:E37)</f>
        <v>0</v>
      </c>
    </row>
    <row r="39" spans="1:5" ht="12.75" customHeight="1">
      <c r="A39" s="13" t="str">
        <f>"   "&amp;Labels!B86</f>
        <v xml:space="preserve">   Preferred</v>
      </c>
      <c r="B39" s="72"/>
      <c r="C39" s="72"/>
      <c r="D39" s="72"/>
      <c r="E39" s="20"/>
    </row>
    <row r="40" spans="1:5" ht="12.75" customHeight="1">
      <c r="A40" s="69" t="str">
        <f>"      "&amp;Labels!B87</f>
        <v xml:space="preserve">      Series A</v>
      </c>
      <c r="B40" s="74">
        <f>0</f>
        <v>0</v>
      </c>
      <c r="C40" s="74">
        <f>B100</f>
        <v>0</v>
      </c>
      <c r="D40" s="74">
        <f>C100</f>
        <v>0</v>
      </c>
      <c r="E40" s="20">
        <f>SUM(B40:D40)</f>
        <v>0</v>
      </c>
    </row>
    <row r="41" spans="1:5" ht="12.75" customHeight="1">
      <c r="A41" s="13" t="str">
        <f>"      "&amp;Labels!C86</f>
        <v xml:space="preserve">      Subtotal</v>
      </c>
      <c r="B41" s="72">
        <f>B40</f>
        <v>0</v>
      </c>
      <c r="C41" s="72">
        <f>C40</f>
        <v>0</v>
      </c>
      <c r="D41" s="72">
        <f>D40</f>
        <v>0</v>
      </c>
      <c r="E41" s="20">
        <f>E40</f>
        <v>0</v>
      </c>
    </row>
    <row r="42" spans="1:5" ht="12.75" customHeight="1">
      <c r="A42" s="13" t="str">
        <f>"   "&amp;Labels!B88</f>
        <v xml:space="preserve">   Common</v>
      </c>
      <c r="B42" s="72">
        <f>0</f>
        <v>0</v>
      </c>
      <c r="C42" s="72">
        <f>B102</f>
        <v>0</v>
      </c>
      <c r="D42" s="72">
        <f>C102</f>
        <v>0</v>
      </c>
      <c r="E42" s="20">
        <f>SUM(B42:D42)</f>
        <v>0</v>
      </c>
    </row>
    <row r="43" spans="1:5" ht="12.75" customHeight="1">
      <c r="A43" s="13" t="str">
        <f>"   "&amp;Labels!B89</f>
        <v xml:space="preserve">   Warrant</v>
      </c>
      <c r="B43" s="72">
        <f>Options!B13</f>
        <v>0</v>
      </c>
      <c r="C43" s="72">
        <f>Options!C13</f>
        <v>0</v>
      </c>
      <c r="D43" s="72">
        <f>Options!D13</f>
        <v>0</v>
      </c>
      <c r="E43" s="20">
        <f>Options!E13</f>
        <v>0</v>
      </c>
    </row>
    <row r="44" spans="1:5" ht="12.75" customHeight="1">
      <c r="A44" s="13" t="str">
        <f>"   "&amp;Labels!B90</f>
        <v xml:space="preserve">   Option</v>
      </c>
      <c r="B44" s="72"/>
      <c r="C44" s="72"/>
      <c r="D44" s="72"/>
      <c r="E44" s="20"/>
    </row>
    <row r="45" spans="1:5" ht="12.75" customHeight="1">
      <c r="A45" s="69" t="str">
        <f>"      "&amp;Labels!B91</f>
        <v xml:space="preserve">      Series B</v>
      </c>
      <c r="B45" s="74">
        <f>Options!B27</f>
        <v>0</v>
      </c>
      <c r="C45" s="74">
        <f>Options!C27</f>
        <v>0</v>
      </c>
      <c r="D45" s="74">
        <f>Options!D27</f>
        <v>0</v>
      </c>
      <c r="E45" s="20">
        <f>Options!E27</f>
        <v>0</v>
      </c>
    </row>
    <row r="46" spans="1:5" ht="12.75" customHeight="1">
      <c r="A46" s="69" t="str">
        <f>"      "&amp;Labels!B92</f>
        <v xml:space="preserve">      Series A</v>
      </c>
      <c r="B46" s="74">
        <f>Options!B28</f>
        <v>0</v>
      </c>
      <c r="C46" s="74">
        <f>Options!C28</f>
        <v>0</v>
      </c>
      <c r="D46" s="74">
        <f>Options!D28</f>
        <v>0</v>
      </c>
      <c r="E46" s="20">
        <f>Options!E28</f>
        <v>0</v>
      </c>
    </row>
    <row r="47" spans="1:5" ht="12.75" customHeight="1">
      <c r="A47" s="13" t="str">
        <f>"      "&amp;Labels!C90</f>
        <v xml:space="preserve">      Subtotal</v>
      </c>
      <c r="B47" s="72">
        <f>Options!B29</f>
        <v>0</v>
      </c>
      <c r="C47" s="72">
        <f>Options!C29</f>
        <v>0</v>
      </c>
      <c r="D47" s="72">
        <f>Options!D29</f>
        <v>0</v>
      </c>
      <c r="E47" s="20">
        <f>Options!E29</f>
        <v>0</v>
      </c>
    </row>
    <row r="48" spans="1:5" ht="12.75" customHeight="1">
      <c r="A48" s="29" t="str">
        <f>"   "&amp;Labels!C82</f>
        <v xml:space="preserve">   Total</v>
      </c>
      <c r="B48" s="44">
        <f>SUM(B38,B41:B42,Options!B13,Options!B29)</f>
        <v>0</v>
      </c>
      <c r="C48" s="44">
        <f>SUM(C38,C41:C42,Options!C13,Options!C29)</f>
        <v>0</v>
      </c>
      <c r="D48" s="44">
        <f>SUM(D38,D41:D42,Options!D13,Options!D29)</f>
        <v>0</v>
      </c>
      <c r="E48" s="20">
        <f>SUM(E38,E41:E42,Options!E13,Options!E29)</f>
        <v>0</v>
      </c>
    </row>
    <row r="49" spans="1:5" ht="12.75" customHeight="1">
      <c r="A49" s="29" t="str">
        <f>Labels!B72</f>
        <v>New Sales</v>
      </c>
      <c r="B49" s="44"/>
      <c r="C49" s="44"/>
      <c r="D49" s="44"/>
      <c r="E49" s="20"/>
    </row>
    <row r="50" spans="1:5" ht="12.75" customHeight="1">
      <c r="A50" s="13" t="str">
        <f>"   "&amp;Labels!B83</f>
        <v xml:space="preserve">   Conv Note</v>
      </c>
      <c r="B50" s="72"/>
      <c r="C50" s="72"/>
      <c r="D50" s="72"/>
      <c r="E50" s="20"/>
    </row>
    <row r="51" spans="1:5" ht="12.75" customHeight="1">
      <c r="A51" s="69" t="str">
        <f>"      "&amp;Labels!B84</f>
        <v xml:space="preserve">      Series B</v>
      </c>
      <c r="B51" s="74">
        <f>B112*B7</f>
        <v>0</v>
      </c>
      <c r="C51" s="74">
        <f>C112*B7</f>
        <v>0</v>
      </c>
      <c r="D51" s="74">
        <f>D112*B7</f>
        <v>0</v>
      </c>
      <c r="E51" s="20">
        <f>SUM(B51:D51)</f>
        <v>0</v>
      </c>
    </row>
    <row r="52" spans="1:5" ht="12.75" customHeight="1">
      <c r="A52" s="69" t="str">
        <f>"      "&amp;Labels!B85</f>
        <v xml:space="preserve">      Series A</v>
      </c>
      <c r="B52" s="74">
        <f>B113*B8</f>
        <v>0</v>
      </c>
      <c r="C52" s="74">
        <f>C113*B8</f>
        <v>0</v>
      </c>
      <c r="D52" s="74">
        <f>D113*B8</f>
        <v>0</v>
      </c>
      <c r="E52" s="20">
        <f>SUM(B52:D52)</f>
        <v>0</v>
      </c>
    </row>
    <row r="53" spans="1:5" ht="12.75" customHeight="1">
      <c r="A53" s="13" t="str">
        <f>"      "&amp;Labels!C83</f>
        <v xml:space="preserve">      Subtotal</v>
      </c>
      <c r="B53" s="72">
        <f>SUM(B51:B52)</f>
        <v>0</v>
      </c>
      <c r="C53" s="72">
        <f>SUM(C51:C52)</f>
        <v>0</v>
      </c>
      <c r="D53" s="72">
        <f>SUM(D51:D52)</f>
        <v>0</v>
      </c>
      <c r="E53" s="20">
        <f>SUM(E51:E52)</f>
        <v>0</v>
      </c>
    </row>
    <row r="54" spans="1:5" ht="12.75" customHeight="1">
      <c r="A54" s="13" t="str">
        <f>"   "&amp;Labels!B86</f>
        <v xml:space="preserve">   Preferred</v>
      </c>
      <c r="B54" s="72"/>
      <c r="C54" s="72"/>
      <c r="D54" s="72"/>
      <c r="E54" s="20"/>
    </row>
    <row r="55" spans="1:5" ht="12.75" customHeight="1">
      <c r="A55" s="69" t="str">
        <f>"      "&amp;Labels!B87</f>
        <v xml:space="preserve">      Series A</v>
      </c>
      <c r="B55" s="74">
        <f>B116*B10</f>
        <v>0</v>
      </c>
      <c r="C55" s="74">
        <f>C116*B10</f>
        <v>0</v>
      </c>
      <c r="D55" s="74">
        <f>D116*B10</f>
        <v>0</v>
      </c>
      <c r="E55" s="20">
        <f>SUM(B55:D55)</f>
        <v>0</v>
      </c>
    </row>
    <row r="56" spans="1:5" ht="12.75" customHeight="1">
      <c r="A56" s="13" t="str">
        <f>"      "&amp;Labels!C86</f>
        <v xml:space="preserve">      Subtotal</v>
      </c>
      <c r="B56" s="72">
        <f>B55</f>
        <v>0</v>
      </c>
      <c r="C56" s="72">
        <f>C55</f>
        <v>0</v>
      </c>
      <c r="D56" s="72">
        <f>D55</f>
        <v>0</v>
      </c>
      <c r="E56" s="20">
        <f>E55</f>
        <v>0</v>
      </c>
    </row>
    <row r="57" spans="1:5" ht="12.75" customHeight="1">
      <c r="A57" s="13" t="str">
        <f>"   "&amp;Labels!B88</f>
        <v xml:space="preserve">   Common</v>
      </c>
      <c r="B57" s="72">
        <f>B118*B11</f>
        <v>0</v>
      </c>
      <c r="C57" s="72">
        <f>C118*B11</f>
        <v>0</v>
      </c>
      <c r="D57" s="72">
        <f>D118*B11</f>
        <v>0</v>
      </c>
      <c r="E57" s="20">
        <f>SUM(B57:D57)</f>
        <v>0</v>
      </c>
    </row>
    <row r="58" spans="1:5" ht="12.75" customHeight="1">
      <c r="A58" s="13" t="str">
        <f>"   "&amp;Labels!B89</f>
        <v xml:space="preserve">   Warrant</v>
      </c>
      <c r="B58" s="72">
        <f>Options!B14</f>
        <v>0</v>
      </c>
      <c r="C58" s="72">
        <f>Options!C14</f>
        <v>0</v>
      </c>
      <c r="D58" s="72">
        <f>Options!D14</f>
        <v>0</v>
      </c>
      <c r="E58" s="20">
        <f>Options!E14</f>
        <v>0</v>
      </c>
    </row>
    <row r="59" spans="1:5" ht="12.75" customHeight="1">
      <c r="A59" s="13" t="str">
        <f>"   "&amp;Labels!B90</f>
        <v xml:space="preserve">   Option</v>
      </c>
      <c r="B59" s="72"/>
      <c r="C59" s="72"/>
      <c r="D59" s="72"/>
      <c r="E59" s="20"/>
    </row>
    <row r="60" spans="1:5" ht="12.75" customHeight="1">
      <c r="A60" s="69" t="str">
        <f>"      "&amp;Labels!B91</f>
        <v xml:space="preserve">      Series B</v>
      </c>
      <c r="B60" s="74">
        <f>Options!B31</f>
        <v>0</v>
      </c>
      <c r="C60" s="74">
        <f>Options!C31</f>
        <v>0</v>
      </c>
      <c r="D60" s="74">
        <f>Options!D31</f>
        <v>0</v>
      </c>
      <c r="E60" s="20">
        <f>Options!E31</f>
        <v>0</v>
      </c>
    </row>
    <row r="61" spans="1:5" ht="12.75" customHeight="1">
      <c r="A61" s="69" t="str">
        <f>"      "&amp;Labels!B92</f>
        <v xml:space="preserve">      Series A</v>
      </c>
      <c r="B61" s="74">
        <f>Options!B32</f>
        <v>0</v>
      </c>
      <c r="C61" s="74">
        <f>Options!C32</f>
        <v>0</v>
      </c>
      <c r="D61" s="74">
        <f>Options!D32</f>
        <v>0</v>
      </c>
      <c r="E61" s="20">
        <f>Options!E32</f>
        <v>0</v>
      </c>
    </row>
    <row r="62" spans="1:5" ht="12.75" customHeight="1">
      <c r="A62" s="13" t="str">
        <f>"      "&amp;Labels!C90</f>
        <v xml:space="preserve">      Subtotal</v>
      </c>
      <c r="B62" s="72">
        <f>Options!B33</f>
        <v>0</v>
      </c>
      <c r="C62" s="72">
        <f>Options!C33</f>
        <v>0</v>
      </c>
      <c r="D62" s="72">
        <f>Options!D33</f>
        <v>0</v>
      </c>
      <c r="E62" s="20">
        <f>Options!E33</f>
        <v>0</v>
      </c>
    </row>
    <row r="63" spans="1:5" ht="12.75" customHeight="1">
      <c r="A63" s="29" t="str">
        <f>"   "&amp;Labels!C82</f>
        <v xml:space="preserve">   Total</v>
      </c>
      <c r="B63" s="44">
        <f>SUM(B53,B56:B57,Options!B14,Options!B33)</f>
        <v>0</v>
      </c>
      <c r="C63" s="44">
        <f>SUM(C53,C56:C57,Options!C14,Options!C33)</f>
        <v>0</v>
      </c>
      <c r="D63" s="44">
        <f>SUM(D53,D56:D57,Options!D14,Options!D33)</f>
        <v>0</v>
      </c>
      <c r="E63" s="20">
        <f>SUM(E53,E56:E57,Options!E14,Options!E33)</f>
        <v>0</v>
      </c>
    </row>
    <row r="64" spans="1:5" ht="12.75" customHeight="1">
      <c r="A64" s="29" t="str">
        <f>Labels!B73</f>
        <v>Post Sales</v>
      </c>
      <c r="B64" s="44"/>
      <c r="C64" s="44"/>
      <c r="D64" s="44"/>
      <c r="E64" s="20"/>
    </row>
    <row r="65" spans="1:5" ht="12.75" customHeight="1">
      <c r="A65" s="13" t="str">
        <f>"   "&amp;Labels!B83</f>
        <v xml:space="preserve">   Conv Note</v>
      </c>
      <c r="B65" s="72"/>
      <c r="C65" s="72"/>
      <c r="D65" s="72"/>
      <c r="E65" s="20"/>
    </row>
    <row r="66" spans="1:5" ht="12.75" customHeight="1">
      <c r="A66" s="69" t="str">
        <f>"      "&amp;Labels!B84</f>
        <v xml:space="preserve">      Series B</v>
      </c>
      <c r="B66" s="74">
        <f t="shared" ref="B66:D67" si="0">B36+B51</f>
        <v>0</v>
      </c>
      <c r="C66" s="74">
        <f t="shared" si="0"/>
        <v>0</v>
      </c>
      <c r="D66" s="74">
        <f t="shared" si="0"/>
        <v>0</v>
      </c>
      <c r="E66" s="20">
        <f>SUM(B66:D66)</f>
        <v>0</v>
      </c>
    </row>
    <row r="67" spans="1:5" ht="12.75" customHeight="1">
      <c r="A67" s="69" t="str">
        <f>"      "&amp;Labels!B85</f>
        <v xml:space="preserve">      Series A</v>
      </c>
      <c r="B67" s="74">
        <f t="shared" si="0"/>
        <v>0</v>
      </c>
      <c r="C67" s="74">
        <f t="shared" si="0"/>
        <v>0</v>
      </c>
      <c r="D67" s="74">
        <f t="shared" si="0"/>
        <v>0</v>
      </c>
      <c r="E67" s="20">
        <f>SUM(B67:D67)</f>
        <v>0</v>
      </c>
    </row>
    <row r="68" spans="1:5" ht="12.75" customHeight="1">
      <c r="A68" s="13" t="str">
        <f>"      "&amp;Labels!C83</f>
        <v xml:space="preserve">      Subtotal</v>
      </c>
      <c r="B68" s="72">
        <f>SUM(B66:B67)</f>
        <v>0</v>
      </c>
      <c r="C68" s="72">
        <f>SUM(C66:C67)</f>
        <v>0</v>
      </c>
      <c r="D68" s="72">
        <f>SUM(D66:D67)</f>
        <v>0</v>
      </c>
      <c r="E68" s="20">
        <f>SUM(E66:E67)</f>
        <v>0</v>
      </c>
    </row>
    <row r="69" spans="1:5" ht="12.75" customHeight="1">
      <c r="A69" s="13" t="str">
        <f>"   "&amp;Labels!B86</f>
        <v xml:space="preserve">   Preferred</v>
      </c>
      <c r="B69" s="72"/>
      <c r="C69" s="72"/>
      <c r="D69" s="72"/>
      <c r="E69" s="20"/>
    </row>
    <row r="70" spans="1:5" ht="12.75" customHeight="1">
      <c r="A70" s="69" t="str">
        <f>"      "&amp;Labels!B87</f>
        <v xml:space="preserve">      Series A</v>
      </c>
      <c r="B70" s="74">
        <f>B40+B55</f>
        <v>0</v>
      </c>
      <c r="C70" s="74">
        <f>C40+C55</f>
        <v>0</v>
      </c>
      <c r="D70" s="74">
        <f>D40+D55</f>
        <v>0</v>
      </c>
      <c r="E70" s="20">
        <f>SUM(B70:D70)</f>
        <v>0</v>
      </c>
    </row>
    <row r="71" spans="1:5" ht="12.75" customHeight="1">
      <c r="A71" s="13" t="str">
        <f>"      "&amp;Labels!C86</f>
        <v xml:space="preserve">      Subtotal</v>
      </c>
      <c r="B71" s="72">
        <f>B70</f>
        <v>0</v>
      </c>
      <c r="C71" s="72">
        <f>C70</f>
        <v>0</v>
      </c>
      <c r="D71" s="72">
        <f>D70</f>
        <v>0</v>
      </c>
      <c r="E71" s="20">
        <f>E70</f>
        <v>0</v>
      </c>
    </row>
    <row r="72" spans="1:5" ht="12.75" customHeight="1">
      <c r="A72" s="13" t="str">
        <f>"   "&amp;Labels!B88</f>
        <v xml:space="preserve">   Common</v>
      </c>
      <c r="B72" s="72">
        <f>B42+B57</f>
        <v>0</v>
      </c>
      <c r="C72" s="72">
        <f>C42+C57</f>
        <v>0</v>
      </c>
      <c r="D72" s="72">
        <f>D42+D57</f>
        <v>0</v>
      </c>
      <c r="E72" s="20">
        <f>SUM(B72:D72)</f>
        <v>0</v>
      </c>
    </row>
    <row r="73" spans="1:5" ht="12.75" customHeight="1">
      <c r="A73" s="13" t="str">
        <f>"   "&amp;Labels!B89</f>
        <v xml:space="preserve">   Warrant</v>
      </c>
      <c r="B73" s="72">
        <f>Options!B15</f>
        <v>0</v>
      </c>
      <c r="C73" s="72">
        <f>Options!C15</f>
        <v>0</v>
      </c>
      <c r="D73" s="72">
        <f>Options!D15</f>
        <v>0</v>
      </c>
      <c r="E73" s="20">
        <f>Options!E15</f>
        <v>0</v>
      </c>
    </row>
    <row r="74" spans="1:5" ht="12.75" customHeight="1">
      <c r="A74" s="13" t="str">
        <f>"   "&amp;Labels!B90</f>
        <v xml:space="preserve">   Option</v>
      </c>
      <c r="B74" s="72"/>
      <c r="C74" s="72"/>
      <c r="D74" s="72"/>
      <c r="E74" s="20"/>
    </row>
    <row r="75" spans="1:5" ht="12.75" customHeight="1">
      <c r="A75" s="69" t="str">
        <f>"      "&amp;Labels!B91</f>
        <v xml:space="preserve">      Series B</v>
      </c>
      <c r="B75" s="74">
        <f>Options!B35</f>
        <v>0</v>
      </c>
      <c r="C75" s="74">
        <f>Options!C35</f>
        <v>0</v>
      </c>
      <c r="D75" s="74">
        <f>Options!D35</f>
        <v>0</v>
      </c>
      <c r="E75" s="20">
        <f>Options!E35</f>
        <v>0</v>
      </c>
    </row>
    <row r="76" spans="1:5" ht="12.75" customHeight="1">
      <c r="A76" s="69" t="str">
        <f>"      "&amp;Labels!B92</f>
        <v xml:space="preserve">      Series A</v>
      </c>
      <c r="B76" s="74">
        <f>Options!B36</f>
        <v>0</v>
      </c>
      <c r="C76" s="74">
        <f>Options!C36</f>
        <v>0</v>
      </c>
      <c r="D76" s="74">
        <f>Options!D36</f>
        <v>0</v>
      </c>
      <c r="E76" s="20">
        <f>Options!E36</f>
        <v>0</v>
      </c>
    </row>
    <row r="77" spans="1:5" ht="12.75" customHeight="1">
      <c r="A77" s="13" t="str">
        <f>"      "&amp;Labels!C90</f>
        <v xml:space="preserve">      Subtotal</v>
      </c>
      <c r="B77" s="72">
        <f>Options!B37</f>
        <v>0</v>
      </c>
      <c r="C77" s="72">
        <f>Options!C37</f>
        <v>0</v>
      </c>
      <c r="D77" s="72">
        <f>Options!D37</f>
        <v>0</v>
      </c>
      <c r="E77" s="20">
        <f>Options!E37</f>
        <v>0</v>
      </c>
    </row>
    <row r="78" spans="1:5" ht="12.75" customHeight="1">
      <c r="A78" s="29" t="str">
        <f>"   "&amp;Labels!C82</f>
        <v xml:space="preserve">   Total</v>
      </c>
      <c r="B78" s="44">
        <f>SUM(B68,B71:B72,Options!B15,Options!B37)</f>
        <v>0</v>
      </c>
      <c r="C78" s="44">
        <f>SUM(C68,C71:C72,Options!C15,Options!C37)</f>
        <v>0</v>
      </c>
      <c r="D78" s="44">
        <f>SUM(D68,D71:D72,Options!D15,Options!D37)</f>
        <v>0</v>
      </c>
      <c r="E78" s="20">
        <f>SUM(E68,E71:E72,Options!E15,Options!E37)</f>
        <v>0</v>
      </c>
    </row>
    <row r="79" spans="1:5" ht="12.75" customHeight="1">
      <c r="A79" s="29" t="str">
        <f>Labels!B74</f>
        <v>Convert</v>
      </c>
      <c r="B79" s="44"/>
      <c r="C79" s="44"/>
      <c r="D79" s="44"/>
      <c r="E79" s="20"/>
    </row>
    <row r="80" spans="1:5" ht="12.75" customHeight="1">
      <c r="A80" s="13" t="str">
        <f>"   "&amp;Labels!B83</f>
        <v xml:space="preserve">   Conv Note</v>
      </c>
      <c r="B80" s="72"/>
      <c r="C80" s="72"/>
      <c r="D80" s="72"/>
      <c r="E80" s="20"/>
    </row>
    <row r="81" spans="1:5" ht="12.75" customHeight="1">
      <c r="A81" s="69" t="str">
        <f>"      "&amp;Labels!B84</f>
        <v xml:space="preserve">      Series B</v>
      </c>
      <c r="B81" s="74">
        <f>Conversion!B28*B66</f>
        <v>0</v>
      </c>
      <c r="C81" s="74">
        <f>Conversion!C28*C66</f>
        <v>0</v>
      </c>
      <c r="D81" s="74">
        <f>Conversion!D28*D66</f>
        <v>0</v>
      </c>
      <c r="E81" s="20">
        <f>SUM(B81:D81)</f>
        <v>0</v>
      </c>
    </row>
    <row r="82" spans="1:5" ht="12.75" customHeight="1">
      <c r="A82" s="69" t="str">
        <f>"      "&amp;Labels!B85</f>
        <v xml:space="preserve">      Series A</v>
      </c>
      <c r="B82" s="74">
        <f>Conversion!B29*B67</f>
        <v>0</v>
      </c>
      <c r="C82" s="74">
        <f>Conversion!C29*C67</f>
        <v>0</v>
      </c>
      <c r="D82" s="74">
        <f>Conversion!D29*D67</f>
        <v>0</v>
      </c>
      <c r="E82" s="20">
        <f>SUM(B82:D82)</f>
        <v>0</v>
      </c>
    </row>
    <row r="83" spans="1:5" ht="12.75" customHeight="1">
      <c r="A83" s="13" t="str">
        <f>"      "&amp;Labels!C83</f>
        <v xml:space="preserve">      Subtotal</v>
      </c>
      <c r="B83" s="72">
        <f>SUM(B81:B82)</f>
        <v>0</v>
      </c>
      <c r="C83" s="72">
        <f>SUM(C81:C82)</f>
        <v>0</v>
      </c>
      <c r="D83" s="72">
        <f>SUM(D81:D82)</f>
        <v>0</v>
      </c>
      <c r="E83" s="20">
        <f>SUM(E81:E82)</f>
        <v>0</v>
      </c>
    </row>
    <row r="84" spans="1:5" ht="12.75" customHeight="1">
      <c r="A84" s="13" t="str">
        <f>"   "&amp;Labels!B86</f>
        <v xml:space="preserve">   Preferred</v>
      </c>
      <c r="B84" s="72"/>
      <c r="C84" s="72"/>
      <c r="D84" s="72"/>
      <c r="E84" s="20"/>
    </row>
    <row r="85" spans="1:5" ht="12.75" customHeight="1">
      <c r="A85" s="69" t="str">
        <f>"      "&amp;Labels!B87</f>
        <v xml:space="preserve">      Series A</v>
      </c>
      <c r="B85" s="74">
        <f>Conversion!B31*B70</f>
        <v>0</v>
      </c>
      <c r="C85" s="74">
        <f>Conversion!C31*C70</f>
        <v>0</v>
      </c>
      <c r="D85" s="74">
        <f>Conversion!D31*D70</f>
        <v>0</v>
      </c>
      <c r="E85" s="20">
        <f>SUM(B85:D85)</f>
        <v>0</v>
      </c>
    </row>
    <row r="86" spans="1:5" ht="12.75" customHeight="1">
      <c r="A86" s="13" t="str">
        <f>"      "&amp;Labels!C86</f>
        <v xml:space="preserve">      Subtotal</v>
      </c>
      <c r="B86" s="72">
        <f>B85</f>
        <v>0</v>
      </c>
      <c r="C86" s="72">
        <f>C85</f>
        <v>0</v>
      </c>
      <c r="D86" s="72">
        <f>D85</f>
        <v>0</v>
      </c>
      <c r="E86" s="20">
        <f>E85</f>
        <v>0</v>
      </c>
    </row>
    <row r="87" spans="1:5" ht="12.75" customHeight="1">
      <c r="A87" s="13" t="str">
        <f>"   "&amp;Labels!B88</f>
        <v xml:space="preserve">   Common</v>
      </c>
      <c r="B87" s="72">
        <f>Conversion!B32*B72</f>
        <v>0</v>
      </c>
      <c r="C87" s="72">
        <f>Conversion!C32*C72</f>
        <v>0</v>
      </c>
      <c r="D87" s="72">
        <f>Conversion!D32*D72</f>
        <v>0</v>
      </c>
      <c r="E87" s="20">
        <f>SUM(B87:D87)</f>
        <v>0</v>
      </c>
    </row>
    <row r="88" spans="1:5" ht="12.75" customHeight="1">
      <c r="A88" s="13" t="str">
        <f>"   "&amp;Labels!B89</f>
        <v xml:space="preserve">   Warrant</v>
      </c>
      <c r="B88" s="72">
        <f>Options!B16</f>
        <v>0</v>
      </c>
      <c r="C88" s="72">
        <f>Options!C16</f>
        <v>0</v>
      </c>
      <c r="D88" s="72">
        <f>Options!D16</f>
        <v>0</v>
      </c>
      <c r="E88" s="20">
        <f>Options!E16</f>
        <v>0</v>
      </c>
    </row>
    <row r="89" spans="1:5" ht="12.75" customHeight="1">
      <c r="A89" s="13" t="str">
        <f>"   "&amp;Labels!B90</f>
        <v xml:space="preserve">   Option</v>
      </c>
      <c r="B89" s="72"/>
      <c r="C89" s="72"/>
      <c r="D89" s="72"/>
      <c r="E89" s="20"/>
    </row>
    <row r="90" spans="1:5" ht="12.75" customHeight="1">
      <c r="A90" s="69" t="str">
        <f>"      "&amp;Labels!B91</f>
        <v xml:space="preserve">      Series B</v>
      </c>
      <c r="B90" s="74">
        <f>Options!B39</f>
        <v>0</v>
      </c>
      <c r="C90" s="74">
        <f>Options!C39</f>
        <v>0</v>
      </c>
      <c r="D90" s="74">
        <f>Options!D39</f>
        <v>0</v>
      </c>
      <c r="E90" s="20">
        <f>Options!E39</f>
        <v>0</v>
      </c>
    </row>
    <row r="91" spans="1:5" ht="12.75" customHeight="1">
      <c r="A91" s="69" t="str">
        <f>"      "&amp;Labels!B92</f>
        <v xml:space="preserve">      Series A</v>
      </c>
      <c r="B91" s="74">
        <f>Options!B40</f>
        <v>0</v>
      </c>
      <c r="C91" s="74">
        <f>Options!C40</f>
        <v>0</v>
      </c>
      <c r="D91" s="74">
        <f>Options!D40</f>
        <v>0</v>
      </c>
      <c r="E91" s="20">
        <f>Options!E40</f>
        <v>0</v>
      </c>
    </row>
    <row r="92" spans="1:5" ht="12.75" customHeight="1">
      <c r="A92" s="13" t="str">
        <f>"      "&amp;Labels!C90</f>
        <v xml:space="preserve">      Subtotal</v>
      </c>
      <c r="B92" s="72">
        <f>Options!B41</f>
        <v>0</v>
      </c>
      <c r="C92" s="72">
        <f>Options!C41</f>
        <v>0</v>
      </c>
      <c r="D92" s="72">
        <f>Options!D41</f>
        <v>0</v>
      </c>
      <c r="E92" s="20">
        <f>Options!E41</f>
        <v>0</v>
      </c>
    </row>
    <row r="93" spans="1:5" ht="12.75" customHeight="1">
      <c r="A93" s="29" t="str">
        <f>"   "&amp;Labels!C82</f>
        <v xml:space="preserve">   Total</v>
      </c>
      <c r="B93" s="44">
        <f>SUM(B83,B86:B87,Options!B16,Options!B41)</f>
        <v>0</v>
      </c>
      <c r="C93" s="44">
        <f>SUM(C83,C86:C87,Options!C16,Options!C41)</f>
        <v>0</v>
      </c>
      <c r="D93" s="44">
        <f>SUM(D83,D86:D87,Options!D16,Options!D41)</f>
        <v>0</v>
      </c>
      <c r="E93" s="20">
        <f>SUM(E83,E86:E87,Options!E16,Options!E41)</f>
        <v>0</v>
      </c>
    </row>
    <row r="94" spans="1:5" ht="12.75" customHeight="1">
      <c r="A94" s="29" t="str">
        <f>Labels!B75</f>
        <v>End</v>
      </c>
      <c r="B94" s="44"/>
      <c r="C94" s="44"/>
      <c r="D94" s="44"/>
      <c r="E94" s="20"/>
    </row>
    <row r="95" spans="1:5" ht="12.75" customHeight="1">
      <c r="A95" s="13" t="str">
        <f>"   "&amp;Labels!B83</f>
        <v xml:space="preserve">   Conv Note</v>
      </c>
      <c r="B95" s="72"/>
      <c r="C95" s="72"/>
      <c r="D95" s="72"/>
      <c r="E95" s="20"/>
    </row>
    <row r="96" spans="1:5" ht="12.75" customHeight="1">
      <c r="A96" s="69" t="str">
        <f>"      "&amp;Labels!B84</f>
        <v xml:space="preserve">      Series B</v>
      </c>
      <c r="B96" s="74">
        <f t="shared" ref="B96:D97" si="1">B66-B81</f>
        <v>0</v>
      </c>
      <c r="C96" s="74">
        <f t="shared" si="1"/>
        <v>0</v>
      </c>
      <c r="D96" s="74">
        <f t="shared" si="1"/>
        <v>0</v>
      </c>
      <c r="E96" s="20">
        <f>SUM(B96:D96)</f>
        <v>0</v>
      </c>
    </row>
    <row r="97" spans="1:5" ht="12.75" customHeight="1">
      <c r="A97" s="69" t="str">
        <f>"      "&amp;Labels!B85</f>
        <v xml:space="preserve">      Series A</v>
      </c>
      <c r="B97" s="74">
        <f t="shared" si="1"/>
        <v>0</v>
      </c>
      <c r="C97" s="74">
        <f t="shared" si="1"/>
        <v>0</v>
      </c>
      <c r="D97" s="74">
        <f t="shared" si="1"/>
        <v>0</v>
      </c>
      <c r="E97" s="20">
        <f>SUM(B97:D97)</f>
        <v>0</v>
      </c>
    </row>
    <row r="98" spans="1:5" ht="12.75" customHeight="1">
      <c r="A98" s="13" t="str">
        <f>"      "&amp;Labels!C83</f>
        <v xml:space="preserve">      Subtotal</v>
      </c>
      <c r="B98" s="72">
        <f>SUM(B96:B97)</f>
        <v>0</v>
      </c>
      <c r="C98" s="72">
        <f>SUM(C96:C97)</f>
        <v>0</v>
      </c>
      <c r="D98" s="72">
        <f>SUM(D96:D97)</f>
        <v>0</v>
      </c>
      <c r="E98" s="20">
        <f>SUM(E96:E97)</f>
        <v>0</v>
      </c>
    </row>
    <row r="99" spans="1:5" ht="12.75" customHeight="1">
      <c r="A99" s="13" t="str">
        <f>"   "&amp;Labels!B86</f>
        <v xml:space="preserve">   Preferred</v>
      </c>
      <c r="B99" s="72"/>
      <c r="C99" s="72"/>
      <c r="D99" s="72"/>
      <c r="E99" s="20"/>
    </row>
    <row r="100" spans="1:5" ht="12.75" customHeight="1">
      <c r="A100" s="69" t="str">
        <f>"      "&amp;Labels!B87</f>
        <v xml:space="preserve">      Series A</v>
      </c>
      <c r="B100" s="74">
        <f>B70-B85</f>
        <v>0</v>
      </c>
      <c r="C100" s="74">
        <f>C70-C85</f>
        <v>0</v>
      </c>
      <c r="D100" s="74">
        <f>D70-D85</f>
        <v>0</v>
      </c>
      <c r="E100" s="20">
        <f>SUM(B100:D100)</f>
        <v>0</v>
      </c>
    </row>
    <row r="101" spans="1:5" ht="12.75" customHeight="1">
      <c r="A101" s="13" t="str">
        <f>"      "&amp;Labels!C86</f>
        <v xml:space="preserve">      Subtotal</v>
      </c>
      <c r="B101" s="72">
        <f>B100</f>
        <v>0</v>
      </c>
      <c r="C101" s="72">
        <f>C100</f>
        <v>0</v>
      </c>
      <c r="D101" s="72">
        <f>D100</f>
        <v>0</v>
      </c>
      <c r="E101" s="20">
        <f>E100</f>
        <v>0</v>
      </c>
    </row>
    <row r="102" spans="1:5" ht="12.75" customHeight="1">
      <c r="A102" s="13" t="str">
        <f>"   "&amp;Labels!B88</f>
        <v xml:space="preserve">   Common</v>
      </c>
      <c r="B102" s="72">
        <f>B72-B87</f>
        <v>0</v>
      </c>
      <c r="C102" s="72">
        <f>C72-C87</f>
        <v>0</v>
      </c>
      <c r="D102" s="72">
        <f>D72-D87</f>
        <v>0</v>
      </c>
      <c r="E102" s="20">
        <f>SUM(B102:D102)</f>
        <v>0</v>
      </c>
    </row>
    <row r="103" spans="1:5" ht="12.75" customHeight="1">
      <c r="A103" s="13" t="str">
        <f>"   "&amp;Labels!B89</f>
        <v xml:space="preserve">   Warrant</v>
      </c>
      <c r="B103" s="72">
        <f>Options!B17</f>
        <v>0</v>
      </c>
      <c r="C103" s="72">
        <f>Options!C17</f>
        <v>0</v>
      </c>
      <c r="D103" s="72">
        <f>Options!D17</f>
        <v>0</v>
      </c>
      <c r="E103" s="20">
        <f>Options!E17</f>
        <v>0</v>
      </c>
    </row>
    <row r="104" spans="1:5" ht="12.75" customHeight="1">
      <c r="A104" s="13" t="str">
        <f>"   "&amp;Labels!B90</f>
        <v xml:space="preserve">   Option</v>
      </c>
      <c r="B104" s="72"/>
      <c r="C104" s="72"/>
      <c r="D104" s="72"/>
      <c r="E104" s="20"/>
    </row>
    <row r="105" spans="1:5" ht="12.75" customHeight="1">
      <c r="A105" s="69" t="str">
        <f>"      "&amp;Labels!B91</f>
        <v xml:space="preserve">      Series B</v>
      </c>
      <c r="B105" s="74">
        <f>Options!B43</f>
        <v>0</v>
      </c>
      <c r="C105" s="74">
        <f>Options!C43</f>
        <v>0</v>
      </c>
      <c r="D105" s="74">
        <f>Options!D43</f>
        <v>0</v>
      </c>
      <c r="E105" s="20">
        <f>Options!E43</f>
        <v>0</v>
      </c>
    </row>
    <row r="106" spans="1:5" ht="12.75" customHeight="1">
      <c r="A106" s="69" t="str">
        <f>"      "&amp;Labels!B92</f>
        <v xml:space="preserve">      Series A</v>
      </c>
      <c r="B106" s="74">
        <f>Options!B44</f>
        <v>0</v>
      </c>
      <c r="C106" s="74">
        <f>Options!C44</f>
        <v>0</v>
      </c>
      <c r="D106" s="74">
        <f>Options!D44</f>
        <v>0</v>
      </c>
      <c r="E106" s="20">
        <f>Options!E44</f>
        <v>0</v>
      </c>
    </row>
    <row r="107" spans="1:5" ht="12.75" customHeight="1">
      <c r="A107" s="13" t="str">
        <f>"      "&amp;Labels!C90</f>
        <v xml:space="preserve">      Subtotal</v>
      </c>
      <c r="B107" s="72">
        <f>Options!B45</f>
        <v>0</v>
      </c>
      <c r="C107" s="72">
        <f>Options!C45</f>
        <v>0</v>
      </c>
      <c r="D107" s="72">
        <f>Options!D45</f>
        <v>0</v>
      </c>
      <c r="E107" s="20">
        <f>Options!E45</f>
        <v>0</v>
      </c>
    </row>
    <row r="108" spans="1:5" ht="12.75" customHeight="1">
      <c r="A108" s="21" t="str">
        <f>"   "&amp;Labels!C82</f>
        <v xml:space="preserve">   Total</v>
      </c>
      <c r="B108" s="22">
        <f>SUM(B98,B101:B102,Options!B17,Options!B45)</f>
        <v>0</v>
      </c>
      <c r="C108" s="22">
        <f>SUM(C98,C101:C102,Options!C17,Options!C45)</f>
        <v>0</v>
      </c>
      <c r="D108" s="22">
        <f>SUM(D98,D101:D102,Options!D17,Options!D45)</f>
        <v>0</v>
      </c>
      <c r="E108" s="23">
        <f>SUM(E98,E101:E102,Options!E17,Options!E45)</f>
        <v>0</v>
      </c>
    </row>
    <row r="109" spans="1:5" ht="12.75" customHeight="1">
      <c r="A109" s="1" t="str">
        <f>Labels!B59</f>
        <v>New Units Sold</v>
      </c>
    </row>
    <row r="110" spans="1:5" ht="12.75" customHeight="1">
      <c r="A110" s="147" t="str">
        <f>Labels!D83</f>
        <v>Security</v>
      </c>
      <c r="B110" s="6" t="str">
        <f>Labels!B78</f>
        <v>Seed</v>
      </c>
      <c r="C110" s="7" t="str">
        <f>Labels!B79</f>
        <v>Round A</v>
      </c>
      <c r="D110" s="7" t="str">
        <f>Labels!B80</f>
        <v>Exit</v>
      </c>
      <c r="E110" s="17" t="str">
        <f>Labels!C77</f>
        <v>Total</v>
      </c>
    </row>
    <row r="111" spans="1:5" ht="12.75" customHeight="1">
      <c r="A111" s="11" t="str">
        <f>Labels!B83</f>
        <v>Conv Note</v>
      </c>
      <c r="B111" s="78"/>
      <c r="C111" s="78"/>
      <c r="D111" s="78"/>
      <c r="E111" s="87"/>
    </row>
    <row r="112" spans="1:5" ht="12.75" customHeight="1">
      <c r="A112" s="13" t="str">
        <f>"   "&amp;Labels!B84</f>
        <v xml:space="preserve">   Series B</v>
      </c>
      <c r="B112" s="80">
        <f>INDEX(ZZZ_Ranges!1:1,,1)</f>
        <v>0</v>
      </c>
      <c r="C112" s="80">
        <f>INDEX(ZZZ_Ranges!1:1,,1)</f>
        <v>0</v>
      </c>
      <c r="D112" s="80">
        <f>INDEX(ZZZ_Ranges!1:1,,1)</f>
        <v>0</v>
      </c>
      <c r="E112" s="62">
        <f>SUM(B112:D112)</f>
        <v>0</v>
      </c>
    </row>
    <row r="113" spans="1:5" ht="12.75" customHeight="1">
      <c r="A113" s="13" t="str">
        <f>"   "&amp;Labels!B85</f>
        <v xml:space="preserve">   Series A</v>
      </c>
      <c r="B113" s="80">
        <f>INDEX(ZZZ_Ranges!1:1,,1)</f>
        <v>0</v>
      </c>
      <c r="C113" s="80">
        <f>INDEX(ZZZ_Ranges!1:1,,1)</f>
        <v>0</v>
      </c>
      <c r="D113" s="80">
        <f>INDEX(ZZZ_Ranges!1:1,,1)</f>
        <v>0</v>
      </c>
      <c r="E113" s="62">
        <f>SUM(B113:D113)</f>
        <v>0</v>
      </c>
    </row>
    <row r="114" spans="1:5" ht="12.75" customHeight="1">
      <c r="A114" s="29" t="str">
        <f>"   "&amp;Labels!C83</f>
        <v xml:space="preserve">   Subtotal</v>
      </c>
      <c r="B114" s="61">
        <f>SUM(B112:B113)</f>
        <v>0</v>
      </c>
      <c r="C114" s="61">
        <f>SUM(C112:C113)</f>
        <v>0</v>
      </c>
      <c r="D114" s="61">
        <f>SUM(D112:D113)</f>
        <v>0</v>
      </c>
      <c r="E114" s="62">
        <f>SUM(B114:D114)</f>
        <v>0</v>
      </c>
    </row>
    <row r="115" spans="1:5" ht="12.75" customHeight="1">
      <c r="A115" s="29" t="str">
        <f>Labels!B86</f>
        <v>Preferred</v>
      </c>
      <c r="B115" s="61"/>
      <c r="C115" s="61"/>
      <c r="D115" s="61"/>
      <c r="E115" s="62"/>
    </row>
    <row r="116" spans="1:5" ht="12.75" customHeight="1">
      <c r="A116" s="13" t="str">
        <f>"   "&amp;Labels!B87</f>
        <v xml:space="preserve">   Series A</v>
      </c>
      <c r="B116" s="80">
        <f>INDEX(ZZZ_Ranges!1:1,,1)</f>
        <v>0</v>
      </c>
      <c r="C116" s="80">
        <f>INDEX(ZZZ_Ranges!1:1,,1)</f>
        <v>0</v>
      </c>
      <c r="D116" s="80">
        <f>INDEX(ZZZ_Ranges!1:1,,1)</f>
        <v>0</v>
      </c>
      <c r="E116" s="62">
        <f>SUM(B116:D116)</f>
        <v>0</v>
      </c>
    </row>
    <row r="117" spans="1:5" ht="12.75" customHeight="1">
      <c r="A117" s="29" t="str">
        <f>"   "&amp;Labels!C86</f>
        <v xml:space="preserve">   Subtotal</v>
      </c>
      <c r="B117" s="61">
        <f>B116</f>
        <v>0</v>
      </c>
      <c r="C117" s="61">
        <f>C116</f>
        <v>0</v>
      </c>
      <c r="D117" s="61">
        <f>D116</f>
        <v>0</v>
      </c>
      <c r="E117" s="62">
        <f>SUM(B117:D117)</f>
        <v>0</v>
      </c>
    </row>
    <row r="118" spans="1:5" ht="12.75" customHeight="1">
      <c r="A118" s="29" t="str">
        <f>Labels!B88</f>
        <v>Common</v>
      </c>
      <c r="B118" s="61">
        <f>INDEX(ZZZ_Ranges!1:1,,1)</f>
        <v>0</v>
      </c>
      <c r="C118" s="61">
        <f>INDEX(ZZZ_Ranges!1:1,,1)</f>
        <v>0</v>
      </c>
      <c r="D118" s="61">
        <f>INDEX(ZZZ_Ranges!1:1,,1)</f>
        <v>0</v>
      </c>
      <c r="E118" s="62">
        <f>SUM(B118:D118)</f>
        <v>0</v>
      </c>
    </row>
    <row r="119" spans="1:5" ht="12.75" customHeight="1">
      <c r="A119" s="29" t="str">
        <f>Labels!B89</f>
        <v>Warrant</v>
      </c>
      <c r="B119" s="61">
        <f>INDEX(ZZZ_Ranges!1:1,,1)</f>
        <v>0</v>
      </c>
      <c r="C119" s="61">
        <f>INDEX(ZZZ_Ranges!1:1,,1)</f>
        <v>0</v>
      </c>
      <c r="D119" s="61">
        <f>INDEX(ZZZ_Ranges!1:1,,1)</f>
        <v>0</v>
      </c>
      <c r="E119" s="62">
        <f>SUM(B119:D119)</f>
        <v>0</v>
      </c>
    </row>
    <row r="120" spans="1:5" ht="12.75" customHeight="1">
      <c r="A120" s="29" t="str">
        <f>Labels!B90</f>
        <v>Option</v>
      </c>
      <c r="B120" s="61"/>
      <c r="C120" s="61"/>
      <c r="D120" s="61"/>
      <c r="E120" s="62"/>
    </row>
    <row r="121" spans="1:5" ht="12.75" customHeight="1">
      <c r="A121" s="13" t="str">
        <f>"   "&amp;Labels!B91</f>
        <v xml:space="preserve">   Series B</v>
      </c>
      <c r="B121" s="80">
        <f>INDEX(ZZZ_Ranges!1:1,,1)</f>
        <v>0</v>
      </c>
      <c r="C121" s="80">
        <f>INDEX(ZZZ_Ranges!1:1,,1)</f>
        <v>0</v>
      </c>
      <c r="D121" s="80">
        <f>INDEX(ZZZ_Ranges!1:1,,1)</f>
        <v>0</v>
      </c>
      <c r="E121" s="62">
        <f>SUM(B121:D121)</f>
        <v>0</v>
      </c>
    </row>
    <row r="122" spans="1:5" ht="12.75" customHeight="1">
      <c r="A122" s="13" t="str">
        <f>"   "&amp;Labels!B92</f>
        <v xml:space="preserve">   Series A</v>
      </c>
      <c r="B122" s="80">
        <f>INDEX(ZZZ_Ranges!1:1,,1)</f>
        <v>0</v>
      </c>
      <c r="C122" s="80">
        <f>INDEX(ZZZ_Ranges!1:1,,1)</f>
        <v>0</v>
      </c>
      <c r="D122" s="80">
        <f>INDEX(ZZZ_Ranges!1:1,,1)</f>
        <v>0</v>
      </c>
      <c r="E122" s="62">
        <f>SUM(B122:D122)</f>
        <v>0</v>
      </c>
    </row>
    <row r="123" spans="1:5" ht="12.75" customHeight="1">
      <c r="A123" s="29" t="str">
        <f>"   "&amp;Labels!C90</f>
        <v xml:space="preserve">   Subtotal</v>
      </c>
      <c r="B123" s="61">
        <f>SUM(B121:B122)</f>
        <v>0</v>
      </c>
      <c r="C123" s="61">
        <f>SUM(C121:C122)</f>
        <v>0</v>
      </c>
      <c r="D123" s="61">
        <f>SUM(D121:D122)</f>
        <v>0</v>
      </c>
      <c r="E123" s="62">
        <f>SUM(B123:D123)</f>
        <v>0</v>
      </c>
    </row>
    <row r="124" spans="1:5" ht="12.75" customHeight="1">
      <c r="A124" s="4" t="str">
        <f>Labels!C82</f>
        <v>Total</v>
      </c>
      <c r="B124" s="159">
        <f>SUM(B114,B117:B119,B123)</f>
        <v>0</v>
      </c>
      <c r="C124" s="159">
        <f>SUM(C114,C117:C119,C123)</f>
        <v>0</v>
      </c>
      <c r="D124" s="159">
        <f>SUM(D114,D117:D119,D123)</f>
        <v>0</v>
      </c>
      <c r="E124" s="160">
        <f>SUM(B124:D124)</f>
        <v>0</v>
      </c>
    </row>
    <row r="125" spans="1:5" ht="12.75" customHeight="1">
      <c r="A125" s="1" t="str">
        <f>Labels!B7</f>
        <v>Conversion Decisions Detail</v>
      </c>
    </row>
    <row r="126" spans="1:5" ht="12.75" customHeight="1">
      <c r="A126" s="147" t="str">
        <f>Labels!D83</f>
        <v>Security</v>
      </c>
      <c r="B126" s="6" t="str">
        <f>Labels!B78</f>
        <v>Seed</v>
      </c>
      <c r="C126" s="7" t="str">
        <f>Labels!B79</f>
        <v>Round A</v>
      </c>
      <c r="D126" s="8" t="str">
        <f>Labels!B80</f>
        <v>Exit</v>
      </c>
    </row>
    <row r="127" spans="1:5" ht="12.75" customHeight="1">
      <c r="A127" s="11" t="str">
        <f>Labels!B83</f>
        <v>Conv Note</v>
      </c>
      <c r="B127" s="100"/>
      <c r="C127" s="100"/>
      <c r="D127" s="101"/>
    </row>
    <row r="128" spans="1:5" ht="12.75" customHeight="1">
      <c r="A128" s="13" t="str">
        <f>"   "&amp;Labels!B84</f>
        <v xml:space="preserve">   Series B</v>
      </c>
      <c r="B128" s="102"/>
      <c r="C128" s="102"/>
      <c r="D128" s="103"/>
    </row>
    <row r="129" spans="1:4" ht="12.75" customHeight="1">
      <c r="A129" s="69" t="str">
        <f>"      "&amp;Labels!B64</f>
        <v xml:space="preserve">      Trigger Date</v>
      </c>
      <c r="B129" s="108">
        <f>Conversion!B61</f>
        <v>0</v>
      </c>
      <c r="C129" s="108">
        <f>Conversion!C61</f>
        <v>1</v>
      </c>
      <c r="D129" s="109">
        <f>Conversion!D61</f>
        <v>1</v>
      </c>
    </row>
    <row r="130" spans="1:4" ht="12.75" customHeight="1">
      <c r="A130" s="69" t="str">
        <f>"      "&amp;Labels!B65</f>
        <v xml:space="preserve">      Trigger Invest</v>
      </c>
      <c r="B130" s="108">
        <f>Conversion!B62</f>
        <v>0</v>
      </c>
      <c r="C130" s="108">
        <f>Conversion!C62</f>
        <v>0</v>
      </c>
      <c r="D130" s="109">
        <f>Conversion!D62</f>
        <v>0</v>
      </c>
    </row>
    <row r="131" spans="1:4" ht="12.75" customHeight="1">
      <c r="A131" s="69" t="str">
        <f>"      "&amp;Labels!B66</f>
        <v xml:space="preserve">      Trigger Value %</v>
      </c>
      <c r="B131" s="108">
        <f>Conversion!B63</f>
        <v>1</v>
      </c>
      <c r="C131" s="108">
        <f>Conversion!C63</f>
        <v>1</v>
      </c>
      <c r="D131" s="109">
        <f>Conversion!D63</f>
        <v>1</v>
      </c>
    </row>
    <row r="132" spans="1:4" ht="12.75" customHeight="1">
      <c r="A132" s="69" t="str">
        <f>"      "&amp;Labels!B67</f>
        <v xml:space="preserve">      Liquidation</v>
      </c>
      <c r="B132" s="108">
        <f>Conversion!B64</f>
        <v>0</v>
      </c>
      <c r="C132" s="108">
        <f>Conversion!C64</f>
        <v>0</v>
      </c>
      <c r="D132" s="109">
        <f>Conversion!D64</f>
        <v>0</v>
      </c>
    </row>
    <row r="133" spans="1:4" ht="12.75" customHeight="1">
      <c r="A133" s="69" t="str">
        <f>"      "&amp;Labels!B68</f>
        <v xml:space="preserve">      Trigger Price</v>
      </c>
      <c r="B133" s="108">
        <f>Conversion!B65</f>
        <v>-1</v>
      </c>
      <c r="C133" s="108">
        <f>Conversion!C65</f>
        <v>-1</v>
      </c>
      <c r="D133" s="109">
        <f>Conversion!D65</f>
        <v>-1</v>
      </c>
    </row>
    <row r="134" spans="1:4" ht="12.75" customHeight="1">
      <c r="A134" s="13" t="str">
        <f>"   "&amp;Labels!B85</f>
        <v xml:space="preserve">   Series A</v>
      </c>
      <c r="B134" s="102"/>
      <c r="C134" s="102"/>
      <c r="D134" s="103"/>
    </row>
    <row r="135" spans="1:4" ht="12.75" customHeight="1">
      <c r="A135" s="69" t="str">
        <f>"      "&amp;Labels!B64</f>
        <v xml:space="preserve">      Trigger Date</v>
      </c>
      <c r="B135" s="108">
        <f>Conversion!B67</f>
        <v>0</v>
      </c>
      <c r="C135" s="108">
        <f>Conversion!C67</f>
        <v>1</v>
      </c>
      <c r="D135" s="109">
        <f>Conversion!D67</f>
        <v>1</v>
      </c>
    </row>
    <row r="136" spans="1:4" ht="12.75" customHeight="1">
      <c r="A136" s="69" t="str">
        <f>"      "&amp;Labels!B65</f>
        <v xml:space="preserve">      Trigger Invest</v>
      </c>
      <c r="B136" s="108">
        <f>Conversion!B68</f>
        <v>0</v>
      </c>
      <c r="C136" s="108">
        <f>Conversion!C68</f>
        <v>0</v>
      </c>
      <c r="D136" s="109">
        <f>Conversion!D68</f>
        <v>0</v>
      </c>
    </row>
    <row r="137" spans="1:4" ht="12.75" customHeight="1">
      <c r="A137" s="69" t="str">
        <f>"      "&amp;Labels!B66</f>
        <v xml:space="preserve">      Trigger Value %</v>
      </c>
      <c r="B137" s="108">
        <f>Conversion!B69</f>
        <v>1</v>
      </c>
      <c r="C137" s="108">
        <f>Conversion!C69</f>
        <v>1</v>
      </c>
      <c r="D137" s="109">
        <f>Conversion!D69</f>
        <v>1</v>
      </c>
    </row>
    <row r="138" spans="1:4" ht="12.75" customHeight="1">
      <c r="A138" s="69" t="str">
        <f>"      "&amp;Labels!B67</f>
        <v xml:space="preserve">      Liquidation</v>
      </c>
      <c r="B138" s="108">
        <f>Conversion!B70</f>
        <v>0</v>
      </c>
      <c r="C138" s="108">
        <f>Conversion!C70</f>
        <v>0</v>
      </c>
      <c r="D138" s="109">
        <f>Conversion!D70</f>
        <v>0</v>
      </c>
    </row>
    <row r="139" spans="1:4" ht="12.75" customHeight="1">
      <c r="A139" s="69" t="str">
        <f>"      "&amp;Labels!B68</f>
        <v xml:space="preserve">      Trigger Price</v>
      </c>
      <c r="B139" s="108">
        <f>Conversion!B71</f>
        <v>-1</v>
      </c>
      <c r="C139" s="108">
        <f>Conversion!C71</f>
        <v>-1</v>
      </c>
      <c r="D139" s="109">
        <f>Conversion!D71</f>
        <v>-1</v>
      </c>
    </row>
    <row r="140" spans="1:4" ht="12.75" customHeight="1">
      <c r="A140" s="29" t="str">
        <f>Labels!B86</f>
        <v>Preferred</v>
      </c>
      <c r="B140" s="161"/>
      <c r="C140" s="161"/>
      <c r="D140" s="162"/>
    </row>
    <row r="141" spans="1:4" ht="12.75" customHeight="1">
      <c r="A141" s="13" t="str">
        <f>"   "&amp;Labels!B87</f>
        <v xml:space="preserve">   Series A</v>
      </c>
      <c r="B141" s="102"/>
      <c r="C141" s="102"/>
      <c r="D141" s="103"/>
    </row>
    <row r="142" spans="1:4" ht="12.75" customHeight="1">
      <c r="A142" s="69" t="str">
        <f>"      "&amp;Labels!B64</f>
        <v xml:space="preserve">      Trigger Date</v>
      </c>
      <c r="B142" s="108">
        <f>Conversion!B74</f>
        <v>0</v>
      </c>
      <c r="C142" s="108">
        <f>Conversion!C74</f>
        <v>1</v>
      </c>
      <c r="D142" s="109">
        <f>Conversion!D74</f>
        <v>1</v>
      </c>
    </row>
    <row r="143" spans="1:4" ht="12.75" customHeight="1">
      <c r="A143" s="69" t="str">
        <f>"      "&amp;Labels!B65</f>
        <v xml:space="preserve">      Trigger Invest</v>
      </c>
      <c r="B143" s="108">
        <f>Conversion!B75</f>
        <v>0</v>
      </c>
      <c r="C143" s="108">
        <f>Conversion!C75</f>
        <v>0</v>
      </c>
      <c r="D143" s="109">
        <f>Conversion!D75</f>
        <v>0</v>
      </c>
    </row>
    <row r="144" spans="1:4" ht="12.75" customHeight="1">
      <c r="A144" s="69" t="str">
        <f>"      "&amp;Labels!B66</f>
        <v xml:space="preserve">      Trigger Value %</v>
      </c>
      <c r="B144" s="108">
        <f>Conversion!B76</f>
        <v>1</v>
      </c>
      <c r="C144" s="108">
        <f>Conversion!C76</f>
        <v>1</v>
      </c>
      <c r="D144" s="109">
        <f>Conversion!D76</f>
        <v>1</v>
      </c>
    </row>
    <row r="145" spans="1:4" ht="12.75" customHeight="1">
      <c r="A145" s="69" t="str">
        <f>"      "&amp;Labels!B67</f>
        <v xml:space="preserve">      Liquidation</v>
      </c>
      <c r="B145" s="108">
        <f>Conversion!B77</f>
        <v>0</v>
      </c>
      <c r="C145" s="108">
        <f>Conversion!C77</f>
        <v>0</v>
      </c>
      <c r="D145" s="109">
        <f>Conversion!D77</f>
        <v>0</v>
      </c>
    </row>
    <row r="146" spans="1:4" ht="12.75" customHeight="1">
      <c r="A146" s="69" t="str">
        <f>"      "&amp;Labels!B68</f>
        <v xml:space="preserve">      Trigger Price</v>
      </c>
      <c r="B146" s="108">
        <f>Conversion!B78</f>
        <v>-1</v>
      </c>
      <c r="C146" s="108">
        <f>Conversion!C78</f>
        <v>-1</v>
      </c>
      <c r="D146" s="109">
        <f>Conversion!D78</f>
        <v>-1</v>
      </c>
    </row>
    <row r="147" spans="1:4" ht="12.75" customHeight="1">
      <c r="A147" s="13" t="str">
        <f>Labels!B88</f>
        <v>Common</v>
      </c>
      <c r="B147" s="102"/>
      <c r="C147" s="102"/>
      <c r="D147" s="103"/>
    </row>
    <row r="148" spans="1:4" ht="12.75" customHeight="1">
      <c r="A148" s="69" t="str">
        <f>"      "&amp;Labels!B64</f>
        <v xml:space="preserve">      Trigger Date</v>
      </c>
      <c r="B148" s="108">
        <f>Conversion!B80</f>
        <v>-1</v>
      </c>
      <c r="C148" s="108">
        <f>Conversion!C80</f>
        <v>-1</v>
      </c>
      <c r="D148" s="109">
        <f>Conversion!D80</f>
        <v>-1</v>
      </c>
    </row>
    <row r="149" spans="1:4" ht="12.75" customHeight="1">
      <c r="A149" s="69" t="str">
        <f>"      "&amp;Labels!B65</f>
        <v xml:space="preserve">      Trigger Invest</v>
      </c>
      <c r="B149" s="108">
        <f>Conversion!B81</f>
        <v>-1</v>
      </c>
      <c r="C149" s="108">
        <f>Conversion!C81</f>
        <v>-1</v>
      </c>
      <c r="D149" s="109">
        <f>Conversion!D81</f>
        <v>-1</v>
      </c>
    </row>
    <row r="150" spans="1:4" ht="12.75" customHeight="1">
      <c r="A150" s="69" t="str">
        <f>"      "&amp;Labels!B66</f>
        <v xml:space="preserve">      Trigger Value %</v>
      </c>
      <c r="B150" s="108">
        <f>Conversion!B82</f>
        <v>-1</v>
      </c>
      <c r="C150" s="108">
        <f>Conversion!C82</f>
        <v>-1</v>
      </c>
      <c r="D150" s="109">
        <f>Conversion!D82</f>
        <v>-1</v>
      </c>
    </row>
    <row r="151" spans="1:4" ht="12.75" customHeight="1">
      <c r="A151" s="69" t="str">
        <f>"      "&amp;Labels!B67</f>
        <v xml:space="preserve">      Liquidation</v>
      </c>
      <c r="B151" s="108">
        <f>Conversion!B83</f>
        <v>-1</v>
      </c>
      <c r="C151" s="108">
        <f>Conversion!C83</f>
        <v>-1</v>
      </c>
      <c r="D151" s="109">
        <f>Conversion!D83</f>
        <v>-1</v>
      </c>
    </row>
    <row r="152" spans="1:4" ht="12.75" customHeight="1">
      <c r="A152" s="69" t="str">
        <f>"      "&amp;Labels!B68</f>
        <v xml:space="preserve">      Trigger Price</v>
      </c>
      <c r="B152" s="108">
        <f>Conversion!B84</f>
        <v>-1</v>
      </c>
      <c r="C152" s="108">
        <f>Conversion!C84</f>
        <v>-1</v>
      </c>
      <c r="D152" s="109">
        <f>Conversion!D84</f>
        <v>-1</v>
      </c>
    </row>
    <row r="153" spans="1:4" ht="12.75" customHeight="1">
      <c r="A153" s="13" t="str">
        <f>Labels!B89</f>
        <v>Warrant</v>
      </c>
      <c r="B153" s="102"/>
      <c r="C153" s="102"/>
      <c r="D153" s="103"/>
    </row>
    <row r="154" spans="1:4" ht="12.75" customHeight="1">
      <c r="A154" s="69" t="str">
        <f>"      "&amp;Labels!B64</f>
        <v xml:space="preserve">      Trigger Date</v>
      </c>
      <c r="B154" s="108">
        <f>Conversion!B86</f>
        <v>0</v>
      </c>
      <c r="C154" s="108">
        <f>Conversion!C86</f>
        <v>1</v>
      </c>
      <c r="D154" s="109">
        <f>Conversion!D86</f>
        <v>1</v>
      </c>
    </row>
    <row r="155" spans="1:4" ht="12.75" customHeight="1">
      <c r="A155" s="69" t="str">
        <f>"      "&amp;Labels!B65</f>
        <v xml:space="preserve">      Trigger Invest</v>
      </c>
      <c r="B155" s="108">
        <f>Conversion!B87</f>
        <v>0</v>
      </c>
      <c r="C155" s="108">
        <f>Conversion!C87</f>
        <v>0</v>
      </c>
      <c r="D155" s="109">
        <f>Conversion!D87</f>
        <v>0</v>
      </c>
    </row>
    <row r="156" spans="1:4" ht="12.75" customHeight="1">
      <c r="A156" s="69" t="str">
        <f>"      "&amp;Labels!B66</f>
        <v xml:space="preserve">      Trigger Value %</v>
      </c>
      <c r="B156" s="108">
        <f>Conversion!B88</f>
        <v>-1</v>
      </c>
      <c r="C156" s="108">
        <f>Conversion!C88</f>
        <v>-1</v>
      </c>
      <c r="D156" s="109">
        <f>Conversion!D88</f>
        <v>-1</v>
      </c>
    </row>
    <row r="157" spans="1:4" ht="12.75" customHeight="1">
      <c r="A157" s="69" t="str">
        <f>"      "&amp;Labels!B67</f>
        <v xml:space="preserve">      Liquidation</v>
      </c>
      <c r="B157" s="108">
        <f>Conversion!B89</f>
        <v>-1</v>
      </c>
      <c r="C157" s="108">
        <f>Conversion!C89</f>
        <v>-1</v>
      </c>
      <c r="D157" s="109">
        <f>Conversion!D89</f>
        <v>-1</v>
      </c>
    </row>
    <row r="158" spans="1:4" ht="12.75" customHeight="1">
      <c r="A158" s="69" t="str">
        <f>"      "&amp;Labels!B68</f>
        <v xml:space="preserve">      Trigger Price</v>
      </c>
      <c r="B158" s="108">
        <f>Conversion!B90</f>
        <v>1</v>
      </c>
      <c r="C158" s="108">
        <f>Conversion!C90</f>
        <v>1</v>
      </c>
      <c r="D158" s="109">
        <f>Conversion!D90</f>
        <v>1</v>
      </c>
    </row>
    <row r="159" spans="1:4" ht="12.75" customHeight="1">
      <c r="A159" s="29" t="str">
        <f>Labels!B90</f>
        <v>Option</v>
      </c>
      <c r="B159" s="161"/>
      <c r="C159" s="161"/>
      <c r="D159" s="162"/>
    </row>
    <row r="160" spans="1:4" ht="12.75" customHeight="1">
      <c r="A160" s="13" t="str">
        <f>"   "&amp;Labels!B91</f>
        <v xml:space="preserve">   Series B</v>
      </c>
      <c r="B160" s="102"/>
      <c r="C160" s="102"/>
      <c r="D160" s="103"/>
    </row>
    <row r="161" spans="1:5" ht="12.75" customHeight="1">
      <c r="A161" s="69" t="str">
        <f>"      "&amp;Labels!B64</f>
        <v xml:space="preserve">      Trigger Date</v>
      </c>
      <c r="B161" s="108">
        <f>Conversion!B93</f>
        <v>0</v>
      </c>
      <c r="C161" s="108">
        <f>Conversion!C93</f>
        <v>1</v>
      </c>
      <c r="D161" s="109">
        <f>Conversion!D93</f>
        <v>1</v>
      </c>
    </row>
    <row r="162" spans="1:5" ht="12.75" customHeight="1">
      <c r="A162" s="69" t="str">
        <f>"      "&amp;Labels!B65</f>
        <v xml:space="preserve">      Trigger Invest</v>
      </c>
      <c r="B162" s="108">
        <f>Conversion!B94</f>
        <v>0</v>
      </c>
      <c r="C162" s="108">
        <f>Conversion!C94</f>
        <v>0</v>
      </c>
      <c r="D162" s="109">
        <f>Conversion!D94</f>
        <v>0</v>
      </c>
    </row>
    <row r="163" spans="1:5" ht="12.75" customHeight="1">
      <c r="A163" s="69" t="str">
        <f>"      "&amp;Labels!B66</f>
        <v xml:space="preserve">      Trigger Value %</v>
      </c>
      <c r="B163" s="108">
        <f>Conversion!B95</f>
        <v>-1</v>
      </c>
      <c r="C163" s="108">
        <f>Conversion!C95</f>
        <v>-1</v>
      </c>
      <c r="D163" s="109">
        <f>Conversion!D95</f>
        <v>-1</v>
      </c>
    </row>
    <row r="164" spans="1:5" ht="12.75" customHeight="1">
      <c r="A164" s="69" t="str">
        <f>"      "&amp;Labels!B67</f>
        <v xml:space="preserve">      Liquidation</v>
      </c>
      <c r="B164" s="108">
        <f>Conversion!B96</f>
        <v>-1</v>
      </c>
      <c r="C164" s="108">
        <f>Conversion!C96</f>
        <v>-1</v>
      </c>
      <c r="D164" s="109">
        <f>Conversion!D96</f>
        <v>-1</v>
      </c>
    </row>
    <row r="165" spans="1:5" ht="12.75" customHeight="1">
      <c r="A165" s="69" t="str">
        <f>"      "&amp;Labels!B68</f>
        <v xml:space="preserve">      Trigger Price</v>
      </c>
      <c r="B165" s="108">
        <f>Conversion!B97</f>
        <v>1</v>
      </c>
      <c r="C165" s="108">
        <f>Conversion!C97</f>
        <v>1</v>
      </c>
      <c r="D165" s="109">
        <f>Conversion!D97</f>
        <v>1</v>
      </c>
    </row>
    <row r="166" spans="1:5" ht="12.75" customHeight="1">
      <c r="A166" s="13" t="str">
        <f>"   "&amp;Labels!B92</f>
        <v xml:space="preserve">   Series A</v>
      </c>
      <c r="B166" s="102"/>
      <c r="C166" s="102"/>
      <c r="D166" s="103"/>
    </row>
    <row r="167" spans="1:5" ht="12.75" customHeight="1">
      <c r="A167" s="69" t="str">
        <f>"      "&amp;Labels!B64</f>
        <v xml:space="preserve">      Trigger Date</v>
      </c>
      <c r="B167" s="108">
        <f>Conversion!B99</f>
        <v>0</v>
      </c>
      <c r="C167" s="108">
        <f>Conversion!C99</f>
        <v>1</v>
      </c>
      <c r="D167" s="109">
        <f>Conversion!D99</f>
        <v>1</v>
      </c>
    </row>
    <row r="168" spans="1:5" ht="12.75" customHeight="1">
      <c r="A168" s="69" t="str">
        <f>"      "&amp;Labels!B65</f>
        <v xml:space="preserve">      Trigger Invest</v>
      </c>
      <c r="B168" s="108">
        <f>Conversion!B100</f>
        <v>0</v>
      </c>
      <c r="C168" s="108">
        <f>Conversion!C100</f>
        <v>0</v>
      </c>
      <c r="D168" s="109">
        <f>Conversion!D100</f>
        <v>0</v>
      </c>
    </row>
    <row r="169" spans="1:5" ht="12.75" customHeight="1">
      <c r="A169" s="69" t="str">
        <f>"      "&amp;Labels!B66</f>
        <v xml:space="preserve">      Trigger Value %</v>
      </c>
      <c r="B169" s="108">
        <f>Conversion!B101</f>
        <v>-1</v>
      </c>
      <c r="C169" s="108">
        <f>Conversion!C101</f>
        <v>-1</v>
      </c>
      <c r="D169" s="109">
        <f>Conversion!D101</f>
        <v>-1</v>
      </c>
    </row>
    <row r="170" spans="1:5" ht="12.75" customHeight="1">
      <c r="A170" s="69" t="str">
        <f>"      "&amp;Labels!B67</f>
        <v xml:space="preserve">      Liquidation</v>
      </c>
      <c r="B170" s="108">
        <f>Conversion!B102</f>
        <v>-1</v>
      </c>
      <c r="C170" s="108">
        <f>Conversion!C102</f>
        <v>-1</v>
      </c>
      <c r="D170" s="109">
        <f>Conversion!D102</f>
        <v>-1</v>
      </c>
    </row>
    <row r="171" spans="1:5" ht="12.75" customHeight="1">
      <c r="A171" s="84" t="str">
        <f>"      "&amp;Labels!B68</f>
        <v xml:space="preserve">      Trigger Price</v>
      </c>
      <c r="B171" s="110">
        <f>Conversion!B103</f>
        <v>1</v>
      </c>
      <c r="C171" s="110">
        <f>Conversion!C103</f>
        <v>1</v>
      </c>
      <c r="D171" s="111">
        <f>Conversion!D103</f>
        <v>1</v>
      </c>
    </row>
    <row r="172" spans="1:5" ht="12.75" customHeight="1">
      <c r="A172" s="1" t="str">
        <f>Labels!B49</f>
        <v>Conversion Price</v>
      </c>
    </row>
    <row r="173" spans="1:5" ht="12.75" customHeight="1">
      <c r="A173" s="147" t="str">
        <f>Labels!D83</f>
        <v>Security</v>
      </c>
      <c r="B173" s="6" t="str">
        <f>Labels!B78</f>
        <v>Seed</v>
      </c>
      <c r="C173" s="7" t="str">
        <f>Labels!B79</f>
        <v>Round A</v>
      </c>
      <c r="D173" s="7" t="str">
        <f>Labels!B80</f>
        <v>Exit</v>
      </c>
      <c r="E173" s="17" t="str">
        <f>Labels!C77</f>
        <v>Total</v>
      </c>
    </row>
    <row r="174" spans="1:5" ht="12.75" customHeight="1">
      <c r="A174" s="11" t="str">
        <f>Labels!B83</f>
        <v>Conv Note</v>
      </c>
      <c r="B174" s="56"/>
      <c r="C174" s="56"/>
      <c r="D174" s="56"/>
      <c r="E174" s="57"/>
    </row>
    <row r="175" spans="1:5" ht="12.75" customHeight="1">
      <c r="A175" s="13" t="str">
        <f>"   "&amp;Labels!B84</f>
        <v xml:space="preserve">   Series B</v>
      </c>
      <c r="B175" s="112">
        <f>Prices!B34</f>
        <v>7.7</v>
      </c>
      <c r="C175" s="112">
        <f>Prices!C34</f>
        <v>18.48</v>
      </c>
      <c r="D175" s="112">
        <f>Prices!D34</f>
        <v>50.540000000000006</v>
      </c>
      <c r="E175" s="59">
        <f>Prices!E34</f>
        <v>50.540000000000006</v>
      </c>
    </row>
    <row r="176" spans="1:5" ht="12.75" customHeight="1">
      <c r="A176" s="13" t="str">
        <f>"   "&amp;Labels!B85</f>
        <v xml:space="preserve">   Series A</v>
      </c>
      <c r="B176" s="112">
        <f>Prices!B35</f>
        <v>7.7</v>
      </c>
      <c r="C176" s="112">
        <f>Prices!C35</f>
        <v>18.48</v>
      </c>
      <c r="D176" s="112">
        <f>Prices!D35</f>
        <v>50.540000000000006</v>
      </c>
      <c r="E176" s="59">
        <f>Prices!E35</f>
        <v>50.540000000000006</v>
      </c>
    </row>
    <row r="177" spans="1:5" ht="12.75" customHeight="1">
      <c r="A177" s="29" t="str">
        <f>"   "&amp;Labels!C83</f>
        <v xml:space="preserve">   Subtotal</v>
      </c>
      <c r="B177" s="60">
        <f>Prices!B36</f>
        <v>7.7</v>
      </c>
      <c r="C177" s="60">
        <f>Prices!C36</f>
        <v>18.48</v>
      </c>
      <c r="D177" s="60">
        <f>Prices!D36</f>
        <v>50.540000000000006</v>
      </c>
      <c r="E177" s="59">
        <f>Prices!E36</f>
        <v>50.540000000000006</v>
      </c>
    </row>
    <row r="178" spans="1:5" ht="12.75" customHeight="1">
      <c r="A178" s="29" t="str">
        <f>Labels!B86</f>
        <v>Preferred</v>
      </c>
      <c r="B178" s="60"/>
      <c r="C178" s="60"/>
      <c r="D178" s="60"/>
      <c r="E178" s="59"/>
    </row>
    <row r="179" spans="1:5" ht="12.75" customHeight="1">
      <c r="A179" s="13" t="str">
        <f>"   "&amp;Labels!B87</f>
        <v xml:space="preserve">   Series A</v>
      </c>
      <c r="B179" s="112">
        <f>Prices!B40</f>
        <v>11</v>
      </c>
      <c r="C179" s="112">
        <f>Prices!C40</f>
        <v>26.4</v>
      </c>
      <c r="D179" s="112">
        <f>Prices!D40</f>
        <v>72.2</v>
      </c>
      <c r="E179" s="59">
        <f>Prices!E40</f>
        <v>72.2</v>
      </c>
    </row>
    <row r="180" spans="1:5" ht="12.75" customHeight="1">
      <c r="A180" s="29" t="str">
        <f>"   "&amp;Labels!C86</f>
        <v xml:space="preserve">   Subtotal</v>
      </c>
      <c r="B180" s="60">
        <f>Prices!B41</f>
        <v>11</v>
      </c>
      <c r="C180" s="60">
        <f>Prices!C41</f>
        <v>26.4</v>
      </c>
      <c r="D180" s="60">
        <f>Prices!D41</f>
        <v>72.2</v>
      </c>
      <c r="E180" s="59">
        <f>Prices!E41</f>
        <v>72.2</v>
      </c>
    </row>
    <row r="181" spans="1:5" ht="12.75" customHeight="1">
      <c r="A181" s="29" t="str">
        <f>Labels!B88</f>
        <v>Common</v>
      </c>
      <c r="B181" s="60">
        <f>MAX(0,IF(Shares!B87=0,0,(B192-Payout!G11-Payout!G14-SUM(B204:B205)-SUM(B208))/Shares!B87))</f>
        <v>11</v>
      </c>
      <c r="C181" s="60">
        <f>MAX(0,IF(Shares!C87=0,0,(C192-Payout!H11-Payout!H14-SUM(C204:C205)-SUM(C208))/Shares!C87))</f>
        <v>26.4</v>
      </c>
      <c r="D181" s="60">
        <f>MAX(0,IF(Shares!D87=0,0,(D192-Payout!I11-Payout!I14-SUM(D204:D205)-SUM(D208))/Shares!D87))</f>
        <v>72.2</v>
      </c>
      <c r="E181" s="59">
        <f>D181</f>
        <v>72.2</v>
      </c>
    </row>
    <row r="182" spans="1:5" ht="12.75" customHeight="1">
      <c r="A182" s="29" t="str">
        <f>Labels!B89</f>
        <v>Warrant</v>
      </c>
      <c r="B182" s="60">
        <f>Prices!B44</f>
        <v>11</v>
      </c>
      <c r="C182" s="60">
        <f>Prices!C44</f>
        <v>26.4</v>
      </c>
      <c r="D182" s="60">
        <f>Prices!D44</f>
        <v>72.2</v>
      </c>
      <c r="E182" s="59">
        <f>Prices!E44</f>
        <v>72.2</v>
      </c>
    </row>
    <row r="183" spans="1:5" ht="12.75" customHeight="1">
      <c r="A183" s="29" t="str">
        <f>Labels!B90</f>
        <v>Option</v>
      </c>
      <c r="B183" s="60"/>
      <c r="C183" s="60"/>
      <c r="D183" s="60"/>
      <c r="E183" s="59"/>
    </row>
    <row r="184" spans="1:5" ht="12.75" customHeight="1">
      <c r="A184" s="13" t="str">
        <f>"   "&amp;Labels!B91</f>
        <v xml:space="preserve">   Series B</v>
      </c>
      <c r="B184" s="112">
        <f>Prices!B48</f>
        <v>11</v>
      </c>
      <c r="C184" s="112">
        <f>Prices!C48</f>
        <v>26.4</v>
      </c>
      <c r="D184" s="112">
        <f>Prices!D48</f>
        <v>72.2</v>
      </c>
      <c r="E184" s="59">
        <f>Prices!E48</f>
        <v>72.2</v>
      </c>
    </row>
    <row r="185" spans="1:5" ht="12.75" customHeight="1">
      <c r="A185" s="13" t="str">
        <f>"   "&amp;Labels!B92</f>
        <v xml:space="preserve">   Series A</v>
      </c>
      <c r="B185" s="112">
        <f>Prices!B49</f>
        <v>11</v>
      </c>
      <c r="C185" s="112">
        <f>Prices!C49</f>
        <v>26.4</v>
      </c>
      <c r="D185" s="112">
        <f>Prices!D49</f>
        <v>72.2</v>
      </c>
      <c r="E185" s="59">
        <f>Prices!E49</f>
        <v>72.2</v>
      </c>
    </row>
    <row r="186" spans="1:5" ht="12.75" customHeight="1">
      <c r="A186" s="29" t="str">
        <f>"   "&amp;Labels!C90</f>
        <v xml:space="preserve">   Subtotal</v>
      </c>
      <c r="B186" s="60">
        <f>Prices!B50</f>
        <v>11</v>
      </c>
      <c r="C186" s="60">
        <f>Prices!C50</f>
        <v>26.4</v>
      </c>
      <c r="D186" s="60">
        <f>Prices!D50</f>
        <v>72.2</v>
      </c>
      <c r="E186" s="59">
        <f>Prices!E50</f>
        <v>72.2</v>
      </c>
    </row>
    <row r="187" spans="1:5" ht="12.75" customHeight="1">
      <c r="A187" s="4" t="str">
        <f>Labels!C82</f>
        <v>Total</v>
      </c>
      <c r="B187" s="117">
        <f>Prices!B50</f>
        <v>11</v>
      </c>
      <c r="C187" s="117">
        <f>Prices!C50</f>
        <v>26.4</v>
      </c>
      <c r="D187" s="117">
        <f>Prices!D50</f>
        <v>72.2</v>
      </c>
      <c r="E187" s="52">
        <f>D187</f>
        <v>72.2</v>
      </c>
    </row>
    <row r="188" spans="1:5" ht="12.75" customHeight="1">
      <c r="A188" s="1" t="str">
        <f>Labels!B21</f>
        <v>Firm Value</v>
      </c>
    </row>
    <row r="189" spans="1:5" ht="12.75" customHeight="1">
      <c r="A189" s="147" t="str">
        <f>Labels!D71</f>
        <v>Phase</v>
      </c>
      <c r="B189" s="6" t="str">
        <f>Labels!B78</f>
        <v>Seed</v>
      </c>
      <c r="C189" s="7" t="str">
        <f>Labels!B79</f>
        <v>Round A</v>
      </c>
      <c r="D189" s="8" t="str">
        <f>Labels!B80</f>
        <v>Exit</v>
      </c>
    </row>
    <row r="190" spans="1:5" ht="12.75" customHeight="1">
      <c r="A190" s="11" t="str">
        <f>Labels!B71</f>
        <v>Start</v>
      </c>
      <c r="B190" s="18">
        <f>Valuation!B10</f>
        <v>1000000</v>
      </c>
      <c r="C190" s="18">
        <f>Valuation!C10</f>
        <v>2640000</v>
      </c>
      <c r="D190" s="163">
        <f>Valuation!D10</f>
        <v>7220000</v>
      </c>
    </row>
    <row r="191" spans="1:5" ht="12.75" customHeight="1">
      <c r="A191" s="29" t="str">
        <f>Labels!B72</f>
        <v>New Sales</v>
      </c>
      <c r="B191" s="44">
        <f>Investment!B241</f>
        <v>100000</v>
      </c>
      <c r="C191" s="44">
        <f>Investment!C241</f>
        <v>0</v>
      </c>
      <c r="D191" s="164">
        <f>Investment!D241</f>
        <v>0</v>
      </c>
    </row>
    <row r="192" spans="1:5" ht="12.75" customHeight="1">
      <c r="A192" s="29" t="str">
        <f>Labels!B73</f>
        <v>Post Sales</v>
      </c>
      <c r="B192" s="44">
        <f>Valuation!B10+B191</f>
        <v>1100000</v>
      </c>
      <c r="C192" s="44">
        <f>Valuation!C10+C191</f>
        <v>2640000</v>
      </c>
      <c r="D192" s="164">
        <f>Valuation!D10+D191</f>
        <v>7220000</v>
      </c>
    </row>
    <row r="193" spans="1:5" ht="12.75" customHeight="1">
      <c r="A193" s="29" t="str">
        <f>Labels!B74</f>
        <v>Convert</v>
      </c>
      <c r="B193" s="44">
        <f>B93</f>
        <v>0</v>
      </c>
      <c r="C193" s="44">
        <f>C93</f>
        <v>0</v>
      </c>
      <c r="D193" s="164">
        <f>D93</f>
        <v>0</v>
      </c>
    </row>
    <row r="194" spans="1:5" ht="12.75" customHeight="1">
      <c r="A194" s="21" t="str">
        <f>Labels!B75</f>
        <v>End</v>
      </c>
      <c r="B194" s="22">
        <f>Valuation!B22</f>
        <v>1100000</v>
      </c>
      <c r="C194" s="22">
        <f>Valuation!C22</f>
        <v>2640000</v>
      </c>
      <c r="D194" s="165">
        <f>Valuation!D22</f>
        <v>7220000</v>
      </c>
    </row>
    <row r="195" spans="1:5" ht="12.75" customHeight="1">
      <c r="A195" s="1" t="str">
        <f>Labels!B22</f>
        <v>Firm Value Start</v>
      </c>
    </row>
    <row r="196" spans="1:5" ht="12.75" customHeight="1">
      <c r="A196" s="147" t="str">
        <f>Labels!D78</f>
        <v>Rounds</v>
      </c>
      <c r="B196" s="17"/>
    </row>
    <row r="197" spans="1:5" ht="12.75" customHeight="1">
      <c r="A197" s="11" t="str">
        <f>Labels!B78</f>
        <v>Seed</v>
      </c>
      <c r="B197" s="163">
        <f>Inputs!B22</f>
        <v>1000000</v>
      </c>
    </row>
    <row r="198" spans="1:5" ht="12.75" customHeight="1">
      <c r="A198" s="29" t="str">
        <f>Labels!B79</f>
        <v>Round A</v>
      </c>
      <c r="B198" s="164">
        <f>Inputs!B23</f>
        <v>2640000</v>
      </c>
    </row>
    <row r="199" spans="1:5" ht="12.75" customHeight="1">
      <c r="A199" s="29" t="str">
        <f>Labels!B80</f>
        <v>Exit</v>
      </c>
      <c r="B199" s="164">
        <f>Inputs!B24</f>
        <v>7220000</v>
      </c>
    </row>
    <row r="200" spans="1:5" ht="12.75" customHeight="1">
      <c r="A200" s="4" t="str">
        <f>Labels!C77</f>
        <v>Total</v>
      </c>
      <c r="B200" s="166">
        <f>SUM(B197:B199)</f>
        <v>10860000</v>
      </c>
    </row>
    <row r="201" spans="1:5" ht="12.75" customHeight="1">
      <c r="A201" s="1" t="str">
        <f>Labels!B35</f>
        <v>Liq Preference New</v>
      </c>
    </row>
    <row r="202" spans="1:5" ht="12.75" customHeight="1">
      <c r="A202" s="147" t="str">
        <f>Labels!D83</f>
        <v>Security</v>
      </c>
      <c r="B202" s="6" t="str">
        <f>Labels!B78</f>
        <v>Seed</v>
      </c>
      <c r="C202" s="7" t="str">
        <f>Labels!B79</f>
        <v>Round A</v>
      </c>
      <c r="D202" s="7" t="str">
        <f>Labels!B80</f>
        <v>Exit</v>
      </c>
      <c r="E202" s="17" t="str">
        <f>Labels!C77</f>
        <v>Total</v>
      </c>
    </row>
    <row r="203" spans="1:5" ht="12.75" customHeight="1">
      <c r="A203" s="11" t="str">
        <f>Labels!B83</f>
        <v>Conv Note</v>
      </c>
      <c r="B203" s="18"/>
      <c r="C203" s="18"/>
      <c r="D203" s="18"/>
      <c r="E203" s="12"/>
    </row>
    <row r="204" spans="1:5" ht="12.75" customHeight="1">
      <c r="A204" s="13" t="str">
        <f>"   "&amp;Labels!B84</f>
        <v xml:space="preserve">   Series B</v>
      </c>
      <c r="B204" s="72">
        <f>MAX(0,(Investment!B290+Investment!B229)*Inputs!E38)</f>
        <v>0</v>
      </c>
      <c r="C204" s="72">
        <f>MAX(0,(Investment!C290+Investment!C229)*Inputs!E38)</f>
        <v>0</v>
      </c>
      <c r="D204" s="72">
        <f>MAX(0,(Investment!D290+Investment!D229)*Inputs!E38)</f>
        <v>0</v>
      </c>
      <c r="E204" s="20">
        <f>SUM(B204:D204)</f>
        <v>0</v>
      </c>
    </row>
    <row r="205" spans="1:5" ht="12.75" customHeight="1">
      <c r="A205" s="13" t="str">
        <f>"   "&amp;Labels!B85</f>
        <v xml:space="preserve">   Series A</v>
      </c>
      <c r="B205" s="72">
        <f>MAX(0,(Investment!B291+Investment!B230)*Inputs!E39)</f>
        <v>0</v>
      </c>
      <c r="C205" s="72">
        <f>MAX(0,(Investment!C291+Investment!C230)*Inputs!E39)</f>
        <v>0</v>
      </c>
      <c r="D205" s="72">
        <f>MAX(0,(Investment!D291+Investment!D230)*Inputs!E39)</f>
        <v>0</v>
      </c>
      <c r="E205" s="20">
        <f>SUM(B205:D205)</f>
        <v>0</v>
      </c>
    </row>
    <row r="206" spans="1:5" ht="12.75" customHeight="1">
      <c r="A206" s="29" t="str">
        <f>"   "&amp;Labels!C83</f>
        <v xml:space="preserve">   Subtotal</v>
      </c>
      <c r="B206" s="44">
        <f>SUM(B204:B205)</f>
        <v>0</v>
      </c>
      <c r="C206" s="44">
        <f>SUM(C204:C205)</f>
        <v>0</v>
      </c>
      <c r="D206" s="44">
        <f>SUM(D204:D205)</f>
        <v>0</v>
      </c>
      <c r="E206" s="20">
        <f>SUM(B206:D206)</f>
        <v>0</v>
      </c>
    </row>
    <row r="207" spans="1:5" ht="12.75" customHeight="1">
      <c r="A207" s="29" t="str">
        <f>Labels!B86</f>
        <v>Preferred</v>
      </c>
      <c r="B207" s="44"/>
      <c r="C207" s="44"/>
      <c r="D207" s="44"/>
      <c r="E207" s="20"/>
    </row>
    <row r="208" spans="1:5" ht="12.75" customHeight="1">
      <c r="A208" s="13" t="str">
        <f>"   "&amp;Labels!B87</f>
        <v xml:space="preserve">   Series A</v>
      </c>
      <c r="B208" s="72">
        <f>MAX(0,(Investment!B294+Investment!B233)*Inputs!B75)</f>
        <v>0</v>
      </c>
      <c r="C208" s="72">
        <f>MAX(0,(Investment!C294+Investment!C233)*Inputs!B75)</f>
        <v>0</v>
      </c>
      <c r="D208" s="72">
        <f>MAX(0,(Investment!D294+Investment!D233)*Inputs!B75)</f>
        <v>0</v>
      </c>
      <c r="E208" s="20">
        <f>SUM(B208:D208)</f>
        <v>0</v>
      </c>
    </row>
    <row r="209" spans="1:5" ht="12.75" customHeight="1">
      <c r="A209" s="29" t="str">
        <f>"   "&amp;Labels!C86</f>
        <v xml:space="preserve">   Subtotal</v>
      </c>
      <c r="B209" s="44">
        <f>B208</f>
        <v>0</v>
      </c>
      <c r="C209" s="44">
        <f>C208</f>
        <v>0</v>
      </c>
      <c r="D209" s="44">
        <f>D208</f>
        <v>0</v>
      </c>
      <c r="E209" s="20">
        <f>SUM(B209:D209)</f>
        <v>0</v>
      </c>
    </row>
    <row r="210" spans="1:5" ht="12.75" customHeight="1">
      <c r="A210" s="29" t="str">
        <f>Labels!B88</f>
        <v>Common</v>
      </c>
      <c r="B210" s="44">
        <f>MAX(0,(Investment!B296+Investment!B235)*Boneyard!F25)</f>
        <v>0</v>
      </c>
      <c r="C210" s="44">
        <f>MAX(0,(Investment!C296+Investment!C235)*Boneyard!F25)</f>
        <v>0</v>
      </c>
      <c r="D210" s="44">
        <f>MAX(0,(Investment!D296+Investment!D235)*Boneyard!F25)</f>
        <v>0</v>
      </c>
      <c r="E210" s="20">
        <f>SUM(B210:D210)</f>
        <v>0</v>
      </c>
    </row>
    <row r="211" spans="1:5" ht="12.75" customHeight="1">
      <c r="A211" s="29" t="str">
        <f>Labels!B89</f>
        <v>Warrant</v>
      </c>
      <c r="B211" s="44">
        <f>MAX(0,(Investment!B297+Investment!B236)*Boneyard!F26)</f>
        <v>0</v>
      </c>
      <c r="C211" s="44">
        <f>MAX(0,(Investment!C297+Investment!C236)*Boneyard!F26)</f>
        <v>0</v>
      </c>
      <c r="D211" s="44">
        <f>MAX(0,(Investment!D297+Investment!D236)*Boneyard!F26)</f>
        <v>0</v>
      </c>
      <c r="E211" s="20">
        <f>SUM(B211:D211)</f>
        <v>0</v>
      </c>
    </row>
    <row r="212" spans="1:5" ht="12.75" customHeight="1">
      <c r="A212" s="29" t="str">
        <f>Labels!B90</f>
        <v>Option</v>
      </c>
      <c r="B212" s="44"/>
      <c r="C212" s="44"/>
      <c r="D212" s="44"/>
      <c r="E212" s="20"/>
    </row>
    <row r="213" spans="1:5" ht="12.75" customHeight="1">
      <c r="A213" s="13" t="str">
        <f>"   "&amp;Labels!B91</f>
        <v xml:space="preserve">   Series B</v>
      </c>
      <c r="B213" s="72">
        <f>MAX(0,(Investment!B299+Investment!B238)*Boneyard!F28)</f>
        <v>0</v>
      </c>
      <c r="C213" s="72">
        <f>MAX(0,(Investment!C299+Investment!C238)*Boneyard!F28)</f>
        <v>0</v>
      </c>
      <c r="D213" s="72">
        <f>MAX(0,(Investment!D299+Investment!D238)*Boneyard!F28)</f>
        <v>0</v>
      </c>
      <c r="E213" s="20">
        <f>SUM(B213:D213)</f>
        <v>0</v>
      </c>
    </row>
    <row r="214" spans="1:5" ht="12.75" customHeight="1">
      <c r="A214" s="13" t="str">
        <f>"   "&amp;Labels!B92</f>
        <v xml:space="preserve">   Series A</v>
      </c>
      <c r="B214" s="72">
        <f>MAX(0,(Investment!B300+Investment!B239)*Boneyard!F29)</f>
        <v>0</v>
      </c>
      <c r="C214" s="72">
        <f>MAX(0,(Investment!C300+Investment!C239)*Boneyard!F29)</f>
        <v>0</v>
      </c>
      <c r="D214" s="72">
        <f>MAX(0,(Investment!D300+Investment!D239)*Boneyard!F29)</f>
        <v>0</v>
      </c>
      <c r="E214" s="20">
        <f>SUM(B214:D214)</f>
        <v>0</v>
      </c>
    </row>
    <row r="215" spans="1:5" ht="12.75" customHeight="1">
      <c r="A215" s="29" t="str">
        <f>"   "&amp;Labels!C90</f>
        <v xml:space="preserve">   Subtotal</v>
      </c>
      <c r="B215" s="44">
        <f>SUM(B213:B214)</f>
        <v>0</v>
      </c>
      <c r="C215" s="44">
        <f>SUM(C213:C214)</f>
        <v>0</v>
      </c>
      <c r="D215" s="44">
        <f>SUM(D213:D214)</f>
        <v>0</v>
      </c>
      <c r="E215" s="20">
        <f>SUM(B215:D215)</f>
        <v>0</v>
      </c>
    </row>
    <row r="216" spans="1:5" ht="12.75" customHeight="1">
      <c r="A216" s="4" t="str">
        <f>Labels!C82</f>
        <v>Total</v>
      </c>
      <c r="B216" s="167">
        <f>SUM(B206,B209:B211,B215)</f>
        <v>0</v>
      </c>
      <c r="C216" s="167">
        <f>SUM(C206,C209:C211,C215)</f>
        <v>0</v>
      </c>
      <c r="D216" s="167">
        <f>SUM(D206,D209:D211,D215)</f>
        <v>0</v>
      </c>
      <c r="E216" s="48">
        <f>SUM(B216:D216)</f>
        <v>0</v>
      </c>
    </row>
    <row r="217" spans="1:5" ht="12.75" customHeight="1">
      <c r="A217" s="1" t="str">
        <f>Labels!B28</f>
        <v>New Investment</v>
      </c>
    </row>
    <row r="218" spans="1:5" ht="12.75" customHeight="1">
      <c r="A218" s="147" t="str">
        <f>Labels!D83</f>
        <v>Security</v>
      </c>
      <c r="B218" s="6" t="str">
        <f>Labels!B78</f>
        <v>Seed</v>
      </c>
      <c r="C218" s="7" t="str">
        <f>Labels!B79</f>
        <v>Round A</v>
      </c>
      <c r="D218" s="7" t="str">
        <f>Labels!B80</f>
        <v>Exit</v>
      </c>
      <c r="E218" s="17" t="str">
        <f>Labels!C77</f>
        <v>Total</v>
      </c>
    </row>
    <row r="219" spans="1:5" ht="12.75" customHeight="1">
      <c r="A219" s="11" t="str">
        <f>Labels!B83</f>
        <v>Conv Note</v>
      </c>
      <c r="B219" s="18"/>
      <c r="C219" s="18"/>
      <c r="D219" s="18"/>
      <c r="E219" s="12"/>
    </row>
    <row r="220" spans="1:5" ht="12.75" customHeight="1">
      <c r="A220" s="13" t="str">
        <f>"   "&amp;Labels!B84</f>
        <v xml:space="preserve">   Series B</v>
      </c>
      <c r="B220" s="72">
        <f>Inputs!B32</f>
        <v>0</v>
      </c>
      <c r="C220" s="72">
        <f>Inputs!C32</f>
        <v>0</v>
      </c>
      <c r="D220" s="72">
        <f>Inputs!D32</f>
        <v>0</v>
      </c>
      <c r="E220" s="20">
        <f>SUM(B220:D220)</f>
        <v>0</v>
      </c>
    </row>
    <row r="221" spans="1:5" ht="12.75" customHeight="1">
      <c r="A221" s="13" t="str">
        <f>"   "&amp;Labels!B85</f>
        <v xml:space="preserve">   Series A</v>
      </c>
      <c r="B221" s="72">
        <f>Inputs!B33</f>
        <v>0</v>
      </c>
      <c r="C221" s="72">
        <f>Inputs!C33</f>
        <v>0</v>
      </c>
      <c r="D221" s="72">
        <f>Inputs!D33</f>
        <v>0</v>
      </c>
      <c r="E221" s="20">
        <f>SUM(B221:D221)</f>
        <v>0</v>
      </c>
    </row>
    <row r="222" spans="1:5" ht="12.75" customHeight="1">
      <c r="A222" s="29" t="str">
        <f>"   "&amp;Labels!C83</f>
        <v xml:space="preserve">   Subtotal</v>
      </c>
      <c r="B222" s="44">
        <f>SUM(B220:B221)</f>
        <v>0</v>
      </c>
      <c r="C222" s="44">
        <f>SUM(C220:C221)</f>
        <v>0</v>
      </c>
      <c r="D222" s="44">
        <f>SUM(D220:D221)</f>
        <v>0</v>
      </c>
      <c r="E222" s="20">
        <f>SUM(E220:E221)</f>
        <v>0</v>
      </c>
    </row>
    <row r="223" spans="1:5" ht="12.75" customHeight="1">
      <c r="A223" s="29" t="str">
        <f>Labels!B86</f>
        <v>Preferred</v>
      </c>
      <c r="B223" s="44"/>
      <c r="C223" s="44"/>
      <c r="D223" s="44"/>
      <c r="E223" s="20"/>
    </row>
    <row r="224" spans="1:5" ht="12.75" customHeight="1">
      <c r="A224" s="13" t="str">
        <f>"   "&amp;Labels!B87</f>
        <v xml:space="preserve">   Series A</v>
      </c>
      <c r="B224" s="72">
        <f>Inputs!B71</f>
        <v>0</v>
      </c>
      <c r="C224" s="72">
        <f>Inputs!C71</f>
        <v>0</v>
      </c>
      <c r="D224" s="72">
        <f>Inputs!D71</f>
        <v>0</v>
      </c>
      <c r="E224" s="20">
        <f>SUM(B224:D224)</f>
        <v>0</v>
      </c>
    </row>
    <row r="225" spans="1:5" ht="12.75" customHeight="1">
      <c r="A225" s="29" t="str">
        <f>"   "&amp;Labels!C86</f>
        <v xml:space="preserve">   Subtotal</v>
      </c>
      <c r="B225" s="44">
        <f>B224</f>
        <v>0</v>
      </c>
      <c r="C225" s="44">
        <f>C224</f>
        <v>0</v>
      </c>
      <c r="D225" s="44">
        <f>D224</f>
        <v>0</v>
      </c>
      <c r="E225" s="20">
        <f>E224</f>
        <v>0</v>
      </c>
    </row>
    <row r="226" spans="1:5" ht="12.75" customHeight="1">
      <c r="A226" s="29" t="str">
        <f>Labels!B88</f>
        <v>Common</v>
      </c>
      <c r="B226" s="44">
        <f>Inputs!B95</f>
        <v>100000</v>
      </c>
      <c r="C226" s="44">
        <f>Inputs!C95</f>
        <v>0</v>
      </c>
      <c r="D226" s="44">
        <f>Inputs!D95</f>
        <v>0</v>
      </c>
      <c r="E226" s="20">
        <f>SUM(B226:D226)</f>
        <v>100000</v>
      </c>
    </row>
    <row r="227" spans="1:5" ht="12.75" customHeight="1">
      <c r="A227" s="29" t="str">
        <f>Labels!B89</f>
        <v>Warrant</v>
      </c>
      <c r="B227" s="44">
        <f>Boneyard!B54</f>
        <v>0</v>
      </c>
      <c r="C227" s="44">
        <f>Boneyard!C54</f>
        <v>0</v>
      </c>
      <c r="D227" s="44">
        <f>Boneyard!D54</f>
        <v>0</v>
      </c>
      <c r="E227" s="20">
        <f>SUM(B227:D227)</f>
        <v>0</v>
      </c>
    </row>
    <row r="228" spans="1:5" ht="12.75" customHeight="1">
      <c r="A228" s="29" t="str">
        <f>Labels!B90</f>
        <v>Option</v>
      </c>
      <c r="B228" s="44"/>
      <c r="C228" s="44"/>
      <c r="D228" s="44"/>
      <c r="E228" s="20"/>
    </row>
    <row r="229" spans="1:5" ht="12.75" customHeight="1">
      <c r="A229" s="13" t="str">
        <f>"   "&amp;Labels!B91</f>
        <v xml:space="preserve">   Series B</v>
      </c>
      <c r="B229" s="72">
        <f>Boneyard!B56</f>
        <v>0</v>
      </c>
      <c r="C229" s="72">
        <f>Boneyard!C56</f>
        <v>0</v>
      </c>
      <c r="D229" s="72">
        <f>Boneyard!D56</f>
        <v>0</v>
      </c>
      <c r="E229" s="20">
        <f>SUM(B229:D229)</f>
        <v>0</v>
      </c>
    </row>
    <row r="230" spans="1:5" ht="12.75" customHeight="1">
      <c r="A230" s="13" t="str">
        <f>"   "&amp;Labels!B92</f>
        <v xml:space="preserve">   Series A</v>
      </c>
      <c r="B230" s="72">
        <f>Boneyard!B57</f>
        <v>0</v>
      </c>
      <c r="C230" s="72">
        <f>Boneyard!C57</f>
        <v>0</v>
      </c>
      <c r="D230" s="72">
        <f>Boneyard!D57</f>
        <v>0</v>
      </c>
      <c r="E230" s="20">
        <f>SUM(B230:D230)</f>
        <v>0</v>
      </c>
    </row>
    <row r="231" spans="1:5" ht="12.75" customHeight="1">
      <c r="A231" s="29" t="str">
        <f>"   "&amp;Labels!C90</f>
        <v xml:space="preserve">   Subtotal</v>
      </c>
      <c r="B231" s="44">
        <f>SUM(B229:B230)</f>
        <v>0</v>
      </c>
      <c r="C231" s="44">
        <f>SUM(C229:C230)</f>
        <v>0</v>
      </c>
      <c r="D231" s="44">
        <f>SUM(D229:D230)</f>
        <v>0</v>
      </c>
      <c r="E231" s="20">
        <f>SUM(E229:E230)</f>
        <v>0</v>
      </c>
    </row>
    <row r="232" spans="1:5" ht="12.75" customHeight="1">
      <c r="A232" s="4" t="str">
        <f>Labels!C82</f>
        <v>Total</v>
      </c>
      <c r="B232" s="167">
        <f>Valuation!B13</f>
        <v>100000</v>
      </c>
      <c r="C232" s="167">
        <f>Valuation!C13</f>
        <v>0</v>
      </c>
      <c r="D232" s="167">
        <f>Valuation!D13</f>
        <v>0</v>
      </c>
      <c r="E232" s="48">
        <f>Valuation!E13</f>
        <v>100000</v>
      </c>
    </row>
    <row r="233" spans="1:5" ht="12.75" customHeight="1">
      <c r="A233" s="1" t="str">
        <f>Labels!B16</f>
        <v>Dividend by Origin</v>
      </c>
    </row>
    <row r="234" spans="1:5" ht="12.75" customHeight="1">
      <c r="A234" s="147" t="str">
        <f>Labels!D83</f>
        <v>Security</v>
      </c>
      <c r="B234" s="6" t="str">
        <f>Labels!B78</f>
        <v>Seed</v>
      </c>
      <c r="C234" s="7" t="str">
        <f>Labels!B79</f>
        <v>Round A</v>
      </c>
      <c r="D234" s="7" t="str">
        <f>Labels!B80</f>
        <v>Exit</v>
      </c>
      <c r="E234" s="17" t="str">
        <f>Labels!C77</f>
        <v>Total</v>
      </c>
    </row>
    <row r="235" spans="1:5" ht="12.75" customHeight="1">
      <c r="A235" s="11" t="str">
        <f>Labels!B83</f>
        <v>Conv Note</v>
      </c>
      <c r="B235" s="18"/>
      <c r="C235" s="18"/>
      <c r="D235" s="18"/>
      <c r="E235" s="12"/>
    </row>
    <row r="236" spans="1:5" ht="12.75" customHeight="1">
      <c r="A236" s="13" t="str">
        <f>"   "&amp;Labels!B84</f>
        <v xml:space="preserve">   Series B</v>
      </c>
      <c r="B236" s="72">
        <f>Inputs!B42*0*(Investment!B209-Investment!B209)/365+Inputs!B99*0</f>
        <v>0</v>
      </c>
      <c r="C236" s="72">
        <f>Inputs!B42*Investment!B274*(Investment!C209-Investment!B209)/365+Inputs!C99*Shares!B14/Shares!B36</f>
        <v>0</v>
      </c>
      <c r="D236" s="72">
        <f>Inputs!B42*Investment!C274*(Investment!D209-Investment!C209)/365+Inputs!D99*Shares!C14/Shares!C36</f>
        <v>0</v>
      </c>
      <c r="E236" s="20">
        <f>Investment!D12</f>
        <v>0</v>
      </c>
    </row>
    <row r="237" spans="1:5" ht="12.75" customHeight="1">
      <c r="A237" s="13" t="str">
        <f>"   "&amp;Labels!B85</f>
        <v xml:space="preserve">   Series A</v>
      </c>
      <c r="B237" s="72">
        <f>Inputs!B43*0*(Investment!B209-Investment!B209)/365+Inputs!B99*0</f>
        <v>0</v>
      </c>
      <c r="C237" s="72">
        <f>Inputs!B43*Investment!B275*(Investment!C209-Investment!B209)/365+Inputs!C99*Shares!B15/Shares!B36</f>
        <v>0</v>
      </c>
      <c r="D237" s="72">
        <f>Inputs!B43*Investment!C275*(Investment!D209-Investment!C209)/365+Inputs!D99*Shares!C15/Shares!C36</f>
        <v>0</v>
      </c>
      <c r="E237" s="20">
        <f>Investment!D13</f>
        <v>0</v>
      </c>
    </row>
    <row r="238" spans="1:5" ht="12.75" customHeight="1">
      <c r="A238" s="29" t="str">
        <f>"   "&amp;Labels!C83</f>
        <v xml:space="preserve">   Subtotal</v>
      </c>
      <c r="B238" s="44">
        <f>SUM(B236:B237)</f>
        <v>0</v>
      </c>
      <c r="C238" s="44">
        <f>SUM(C236:C237)</f>
        <v>0</v>
      </c>
      <c r="D238" s="44">
        <f>SUM(D236:D237)</f>
        <v>0</v>
      </c>
      <c r="E238" s="20">
        <f>Investment!D14</f>
        <v>0</v>
      </c>
    </row>
    <row r="239" spans="1:5" ht="12.75" customHeight="1">
      <c r="A239" s="29" t="str">
        <f>Labels!B86</f>
        <v>Preferred</v>
      </c>
      <c r="B239" s="44"/>
      <c r="C239" s="44"/>
      <c r="D239" s="44"/>
      <c r="E239" s="20"/>
    </row>
    <row r="240" spans="1:5" ht="12.75" customHeight="1">
      <c r="A240" s="13" t="str">
        <f>"   "&amp;Labels!B87</f>
        <v xml:space="preserve">   Series A</v>
      </c>
      <c r="B240" s="72">
        <f>Inputs!E75*0*(Investment!B209-Investment!B209)/365+Inputs!B99*0</f>
        <v>0</v>
      </c>
      <c r="C240" s="72">
        <f>Inputs!E75*Investment!B278*(Investment!C209-Investment!B209)/365+Inputs!C99*Shares!B17/Shares!B36</f>
        <v>0</v>
      </c>
      <c r="D240" s="72">
        <f>Inputs!E75*Investment!C278*(Investment!D209-Investment!C209)/365+Inputs!D99*Shares!C17/Shares!C36</f>
        <v>0</v>
      </c>
      <c r="E240" s="20">
        <f>Investment!D16</f>
        <v>0</v>
      </c>
    </row>
    <row r="241" spans="1:5" ht="12.75" customHeight="1">
      <c r="A241" s="29" t="str">
        <f>"   "&amp;Labels!C86</f>
        <v xml:space="preserve">   Subtotal</v>
      </c>
      <c r="B241" s="44">
        <f>B240</f>
        <v>0</v>
      </c>
      <c r="C241" s="44">
        <f>C240</f>
        <v>0</v>
      </c>
      <c r="D241" s="44">
        <f>D240</f>
        <v>0</v>
      </c>
      <c r="E241" s="20">
        <f>Investment!D17</f>
        <v>0</v>
      </c>
    </row>
    <row r="242" spans="1:5" ht="12.75" customHeight="1">
      <c r="A242" s="29" t="str">
        <f>Labels!B88</f>
        <v>Common</v>
      </c>
      <c r="B242" s="44">
        <f>Inputs!B99*0</f>
        <v>0</v>
      </c>
      <c r="C242" s="44">
        <f>Inputs!C99*Shares!B18/Shares!B36</f>
        <v>0</v>
      </c>
      <c r="D242" s="44">
        <f>Inputs!D99*Shares!C18/Shares!C36</f>
        <v>0</v>
      </c>
      <c r="E242" s="20">
        <f>Investment!D18</f>
        <v>0</v>
      </c>
    </row>
    <row r="243" spans="1:5" ht="12.75" customHeight="1">
      <c r="A243" s="29" t="str">
        <f>Labels!B89</f>
        <v>Warrant</v>
      </c>
      <c r="B243" s="44">
        <f>Boneyard!B26*0*(Investment!B209-Investment!B209)/365+Inputs!B99*0</f>
        <v>0</v>
      </c>
      <c r="C243" s="44">
        <f>Boneyard!B26*Investment!B281*(Investment!C209-Investment!B209)/365+Inputs!C99*Shares!B19/Shares!B36</f>
        <v>0</v>
      </c>
      <c r="D243" s="44">
        <f>Boneyard!B26*Investment!C281*(Investment!D209-Investment!C209)/365+Inputs!D99*Shares!C19/Shares!C36</f>
        <v>0</v>
      </c>
      <c r="E243" s="20">
        <f>Investment!D19</f>
        <v>0</v>
      </c>
    </row>
    <row r="244" spans="1:5" ht="12.75" customHeight="1">
      <c r="A244" s="29" t="str">
        <f>Labels!B90</f>
        <v>Option</v>
      </c>
      <c r="B244" s="44"/>
      <c r="C244" s="44"/>
      <c r="D244" s="44"/>
      <c r="E244" s="20"/>
    </row>
    <row r="245" spans="1:5" ht="12.75" customHeight="1">
      <c r="A245" s="13" t="str">
        <f>"   "&amp;Labels!B91</f>
        <v xml:space="preserve">   Series B</v>
      </c>
      <c r="B245" s="72">
        <f>Boneyard!B28*0*(Investment!B209-Investment!B209)/365+Inputs!B99*0</f>
        <v>0</v>
      </c>
      <c r="C245" s="72">
        <f>Boneyard!B28*Investment!B283*(Investment!C209-Investment!B209)/365+Inputs!C99*Shares!B21/Shares!B36</f>
        <v>0</v>
      </c>
      <c r="D245" s="72">
        <f>Boneyard!B28*Investment!C283*(Investment!D209-Investment!C209)/365+Inputs!D99*Shares!C21/Shares!C36</f>
        <v>0</v>
      </c>
      <c r="E245" s="20">
        <f>Investment!D21</f>
        <v>0</v>
      </c>
    </row>
    <row r="246" spans="1:5" ht="12.75" customHeight="1">
      <c r="A246" s="13" t="str">
        <f>"   "&amp;Labels!B92</f>
        <v xml:space="preserve">   Series A</v>
      </c>
      <c r="B246" s="72">
        <f>Boneyard!B29*0*(Investment!B209-Investment!B209)/365+Inputs!B99*0</f>
        <v>0</v>
      </c>
      <c r="C246" s="72">
        <f>Boneyard!B29*Investment!B284*(Investment!C209-Investment!B209)/365+Inputs!C99*Shares!B22/Shares!B36</f>
        <v>0</v>
      </c>
      <c r="D246" s="72">
        <f>Boneyard!B29*Investment!C284*(Investment!D209-Investment!C209)/365+Inputs!D99*Shares!C22/Shares!C36</f>
        <v>0</v>
      </c>
      <c r="E246" s="20">
        <f>Investment!D22</f>
        <v>0</v>
      </c>
    </row>
    <row r="247" spans="1:5" ht="12.75" customHeight="1">
      <c r="A247" s="29" t="str">
        <f>"   "&amp;Labels!C90</f>
        <v xml:space="preserve">   Subtotal</v>
      </c>
      <c r="B247" s="44">
        <f>SUM(B245:B246)</f>
        <v>0</v>
      </c>
      <c r="C247" s="44">
        <f>SUM(C245:C246)</f>
        <v>0</v>
      </c>
      <c r="D247" s="44">
        <f>SUM(D245:D246)</f>
        <v>0</v>
      </c>
      <c r="E247" s="20">
        <f>Investment!D23</f>
        <v>0</v>
      </c>
    </row>
    <row r="248" spans="1:5" ht="12.75" customHeight="1">
      <c r="A248" s="4" t="str">
        <f>Labels!C82</f>
        <v>Total</v>
      </c>
      <c r="B248" s="167">
        <f>SUM(B238,B241:B243,B247)</f>
        <v>0</v>
      </c>
      <c r="C248" s="167">
        <f>SUM(C238,C241:C243,C247)</f>
        <v>0</v>
      </c>
      <c r="D248" s="167">
        <f>SUM(D238,D241:D243,D247)</f>
        <v>0</v>
      </c>
      <c r="E248" s="48">
        <f>Investment!D24</f>
        <v>0</v>
      </c>
    </row>
    <row r="249" spans="1:5" ht="12.75" customHeight="1">
      <c r="A249" s="1" t="str">
        <f>Labels!B56</f>
        <v>Common Shares by Origin</v>
      </c>
    </row>
    <row r="250" spans="1:5" ht="12.75" customHeight="1">
      <c r="A250" s="147" t="str">
        <f>Labels!D83</f>
        <v>Security</v>
      </c>
      <c r="B250" s="6" t="str">
        <f>Labels!B78</f>
        <v>Seed</v>
      </c>
      <c r="C250" s="7" t="str">
        <f>Labels!B79</f>
        <v>Round A</v>
      </c>
      <c r="D250" s="8" t="str">
        <f>Labels!B80</f>
        <v>Exit</v>
      </c>
    </row>
    <row r="251" spans="1:5" ht="12.75" customHeight="1">
      <c r="A251" s="11" t="str">
        <f>Labels!B83</f>
        <v>Conv Note</v>
      </c>
      <c r="B251" s="78"/>
      <c r="C251" s="78"/>
      <c r="D251" s="79"/>
    </row>
    <row r="252" spans="1:5" ht="12.75" customHeight="1">
      <c r="A252" s="13" t="str">
        <f>"   "&amp;Labels!B84</f>
        <v xml:space="preserve">   Series B</v>
      </c>
      <c r="B252" s="80">
        <f>Shares!B14</f>
        <v>0</v>
      </c>
      <c r="C252" s="80">
        <f>Shares!C14</f>
        <v>0</v>
      </c>
      <c r="D252" s="81">
        <f>Shares!D14</f>
        <v>0</v>
      </c>
    </row>
    <row r="253" spans="1:5" ht="12.75" customHeight="1">
      <c r="A253" s="13" t="str">
        <f>"   "&amp;Labels!B85</f>
        <v xml:space="preserve">   Series A</v>
      </c>
      <c r="B253" s="80">
        <f>Shares!B15</f>
        <v>0</v>
      </c>
      <c r="C253" s="80">
        <f>Shares!C15</f>
        <v>0</v>
      </c>
      <c r="D253" s="81">
        <f>Shares!D15</f>
        <v>0</v>
      </c>
    </row>
    <row r="254" spans="1:5" ht="12.75" customHeight="1">
      <c r="A254" s="29" t="str">
        <f>Labels!B86</f>
        <v>Preferred</v>
      </c>
      <c r="B254" s="61"/>
      <c r="C254" s="61"/>
      <c r="D254" s="168"/>
    </row>
    <row r="255" spans="1:5" ht="12.75" customHeight="1">
      <c r="A255" s="13" t="str">
        <f>"   "&amp;Labels!B87</f>
        <v xml:space="preserve">   Series A</v>
      </c>
      <c r="B255" s="80">
        <f>Shares!B17</f>
        <v>0</v>
      </c>
      <c r="C255" s="80">
        <f>Shares!C17</f>
        <v>0</v>
      </c>
      <c r="D255" s="81">
        <f>Shares!D17</f>
        <v>0</v>
      </c>
    </row>
    <row r="256" spans="1:5" ht="12.75" customHeight="1">
      <c r="A256" s="29" t="str">
        <f>Labels!B88</f>
        <v>Common</v>
      </c>
      <c r="B256" s="61">
        <f>Shares!B18</f>
        <v>100000</v>
      </c>
      <c r="C256" s="61">
        <f>Shares!C18</f>
        <v>100000</v>
      </c>
      <c r="D256" s="168">
        <f>Shares!D18</f>
        <v>100000</v>
      </c>
    </row>
    <row r="257" spans="1:5" ht="12.75" customHeight="1">
      <c r="A257" s="29" t="str">
        <f>Labels!B89</f>
        <v>Warrant</v>
      </c>
      <c r="B257" s="61">
        <f>Shares!B19</f>
        <v>0</v>
      </c>
      <c r="C257" s="61">
        <f>Shares!C19</f>
        <v>0</v>
      </c>
      <c r="D257" s="168">
        <f>Shares!D19</f>
        <v>0</v>
      </c>
    </row>
    <row r="258" spans="1:5" ht="12.75" customHeight="1">
      <c r="A258" s="29" t="str">
        <f>Labels!B90</f>
        <v>Option</v>
      </c>
      <c r="B258" s="61"/>
      <c r="C258" s="61"/>
      <c r="D258" s="168"/>
    </row>
    <row r="259" spans="1:5" ht="12.75" customHeight="1">
      <c r="A259" s="13" t="str">
        <f>"   "&amp;Labels!B91</f>
        <v xml:space="preserve">   Series B</v>
      </c>
      <c r="B259" s="80">
        <f>Shares!B21</f>
        <v>0</v>
      </c>
      <c r="C259" s="80">
        <f>Shares!C21</f>
        <v>0</v>
      </c>
      <c r="D259" s="81">
        <f>Shares!D21</f>
        <v>0</v>
      </c>
    </row>
    <row r="260" spans="1:5" ht="12.75" customHeight="1">
      <c r="A260" s="15" t="str">
        <f>"   "&amp;Labels!B92</f>
        <v xml:space="preserve">   Series A</v>
      </c>
      <c r="B260" s="89">
        <f>Shares!B22</f>
        <v>0</v>
      </c>
      <c r="C260" s="89">
        <f>Shares!C22</f>
        <v>0</v>
      </c>
      <c r="D260" s="169">
        <f>Shares!D22</f>
        <v>0</v>
      </c>
    </row>
    <row r="261" spans="1:5" ht="12.75" customHeight="1">
      <c r="A261" s="1" t="str">
        <f>Labels!B40</f>
        <v>Payout by Origin</v>
      </c>
    </row>
    <row r="262" spans="1:5" ht="12.75" customHeight="1">
      <c r="A262" s="147" t="str">
        <f>Labels!D83</f>
        <v>Security</v>
      </c>
      <c r="B262" s="6" t="str">
        <f>Labels!B78</f>
        <v>Seed</v>
      </c>
      <c r="C262" s="7" t="str">
        <f>Labels!B79</f>
        <v>Round A</v>
      </c>
      <c r="D262" s="7" t="str">
        <f>Labels!B80</f>
        <v>Exit</v>
      </c>
      <c r="E262" s="17" t="str">
        <f>Labels!C77</f>
        <v>Total</v>
      </c>
    </row>
    <row r="263" spans="1:5" ht="12.75" customHeight="1">
      <c r="A263" s="11" t="str">
        <f>Labels!B83</f>
        <v>Conv Note</v>
      </c>
      <c r="B263" s="18"/>
      <c r="C263" s="18"/>
      <c r="D263" s="18"/>
      <c r="E263" s="12"/>
    </row>
    <row r="264" spans="1:5" ht="12.75" customHeight="1">
      <c r="A264" s="13" t="str">
        <f>"   "&amp;Labels!B84</f>
        <v xml:space="preserve">   Series B</v>
      </c>
      <c r="B264" s="72">
        <f>Payout!L9+IF(Shares!B36=0,0,Shares!B14/Shares!B36*Payout!L15)</f>
        <v>0</v>
      </c>
      <c r="C264" s="72">
        <f>Payout!M9+IF(Shares!C36=0,0,Shares!C14/Shares!C36*Payout!M15)</f>
        <v>0</v>
      </c>
      <c r="D264" s="72">
        <f>Payout!N9+IF(Shares!D36=0,0,Shares!D14/Shares!D36*Payout!N15)</f>
        <v>0</v>
      </c>
      <c r="E264" s="20" t="str">
        <f>""</f>
        <v/>
      </c>
    </row>
    <row r="265" spans="1:5" ht="12.75" customHeight="1">
      <c r="A265" s="13" t="str">
        <f>"   "&amp;Labels!B85</f>
        <v xml:space="preserve">   Series A</v>
      </c>
      <c r="B265" s="72">
        <f>Payout!L10+IF(Shares!B36=0,0,Shares!B15/Shares!B36*Payout!L15)</f>
        <v>0</v>
      </c>
      <c r="C265" s="72">
        <f>Payout!M10+IF(Shares!C36=0,0,Shares!C15/Shares!C36*Payout!M15)</f>
        <v>0</v>
      </c>
      <c r="D265" s="72">
        <f>Payout!N10+IF(Shares!D36=0,0,Shares!D15/Shares!D36*Payout!N15)</f>
        <v>0</v>
      </c>
      <c r="E265" s="20" t="str">
        <f>""</f>
        <v/>
      </c>
    </row>
    <row r="266" spans="1:5" ht="12.75" customHeight="1">
      <c r="A266" s="29" t="str">
        <f>"   "&amp;Labels!C83</f>
        <v xml:space="preserve">   Subtotal</v>
      </c>
      <c r="B266" s="44">
        <f>SUM(B264:B265)</f>
        <v>0</v>
      </c>
      <c r="C266" s="44">
        <f>SUM(C264:C265)</f>
        <v>0</v>
      </c>
      <c r="D266" s="44">
        <f>SUM(D264:D265)</f>
        <v>0</v>
      </c>
      <c r="E266" s="20" t="str">
        <f>""</f>
        <v/>
      </c>
    </row>
    <row r="267" spans="1:5" ht="12.75" customHeight="1">
      <c r="A267" s="29" t="str">
        <f>Labels!B86</f>
        <v>Preferred</v>
      </c>
      <c r="B267" s="44"/>
      <c r="C267" s="44"/>
      <c r="D267" s="44"/>
      <c r="E267" s="20"/>
    </row>
    <row r="268" spans="1:5" ht="12.75" customHeight="1">
      <c r="A268" s="13" t="str">
        <f>"   "&amp;Labels!B87</f>
        <v xml:space="preserve">   Series A</v>
      </c>
      <c r="B268" s="72">
        <f>Payout!L13+IF(Shares!B36=0,0,Shares!B17/Shares!B36*Payout!L15)</f>
        <v>0</v>
      </c>
      <c r="C268" s="72">
        <f>Payout!M13+IF(Shares!C36=0,0,Shares!C17/Shares!C36*Payout!M15)</f>
        <v>0</v>
      </c>
      <c r="D268" s="72">
        <f>Payout!N13+IF(Shares!D36=0,0,Shares!D17/Shares!D36*Payout!N15)</f>
        <v>0</v>
      </c>
      <c r="E268" s="20" t="str">
        <f>""</f>
        <v/>
      </c>
    </row>
    <row r="269" spans="1:5" ht="12.75" customHeight="1">
      <c r="A269" s="29" t="str">
        <f>"   "&amp;Labels!C86</f>
        <v xml:space="preserve">   Subtotal</v>
      </c>
      <c r="B269" s="44">
        <f>SUM(B268)</f>
        <v>0</v>
      </c>
      <c r="C269" s="44">
        <f>SUM(C268)</f>
        <v>0</v>
      </c>
      <c r="D269" s="44">
        <f>SUM(D268)</f>
        <v>0</v>
      </c>
      <c r="E269" s="20" t="str">
        <f>""</f>
        <v/>
      </c>
    </row>
    <row r="270" spans="1:5" ht="12.75" customHeight="1">
      <c r="A270" s="29" t="str">
        <f>Labels!B88</f>
        <v>Common</v>
      </c>
      <c r="B270" s="44">
        <f>IF(Shares!B36=0,0,Shares!B18/Shares!B36*Payout!L15)</f>
        <v>1100000</v>
      </c>
      <c r="C270" s="44">
        <f>IF(Shares!C36=0,0,Shares!C18/Shares!C36*Payout!M15)</f>
        <v>2640000</v>
      </c>
      <c r="D270" s="44">
        <f>IF(Shares!D36=0,0,Shares!D18/Shares!D36*Payout!N15)</f>
        <v>7220000</v>
      </c>
      <c r="E270" s="20" t="str">
        <f>""</f>
        <v/>
      </c>
    </row>
    <row r="271" spans="1:5" ht="12.75" customHeight="1">
      <c r="A271" s="29" t="str">
        <f>Labels!B89</f>
        <v>Warrant</v>
      </c>
      <c r="B271" s="44">
        <f>Payout!L16+IF(Shares!B36=0,0,Shares!B19/Shares!B36*Payout!L15)</f>
        <v>0</v>
      </c>
      <c r="C271" s="44">
        <f>Payout!M16+IF(Shares!C36=0,0,Shares!C19/Shares!C36*Payout!M15)</f>
        <v>0</v>
      </c>
      <c r="D271" s="44">
        <f>Payout!N16+IF(Shares!D36=0,0,Shares!D19/Shares!D36*Payout!N15)</f>
        <v>0</v>
      </c>
      <c r="E271" s="20" t="str">
        <f>""</f>
        <v/>
      </c>
    </row>
    <row r="272" spans="1:5" ht="12.75" customHeight="1">
      <c r="A272" s="29" t="str">
        <f>Labels!B90</f>
        <v>Option</v>
      </c>
      <c r="B272" s="44"/>
      <c r="C272" s="44"/>
      <c r="D272" s="44"/>
      <c r="E272" s="20"/>
    </row>
    <row r="273" spans="1:5" ht="12.75" customHeight="1">
      <c r="A273" s="13" t="str">
        <f>"   "&amp;Labels!B91</f>
        <v xml:space="preserve">   Series B</v>
      </c>
      <c r="B273" s="72">
        <f>Payout!L18+IF(Shares!B36=0,0,Shares!B21/Shares!B36*Payout!L15)</f>
        <v>0</v>
      </c>
      <c r="C273" s="72">
        <f>Payout!M18+IF(Shares!C36=0,0,Shares!C21/Shares!C36*Payout!M15)</f>
        <v>0</v>
      </c>
      <c r="D273" s="72">
        <f>Payout!N18+IF(Shares!D36=0,0,Shares!D21/Shares!D36*Payout!N15)</f>
        <v>0</v>
      </c>
      <c r="E273" s="20" t="str">
        <f>""</f>
        <v/>
      </c>
    </row>
    <row r="274" spans="1:5" ht="12.75" customHeight="1">
      <c r="A274" s="13" t="str">
        <f>"   "&amp;Labels!B92</f>
        <v xml:space="preserve">   Series A</v>
      </c>
      <c r="B274" s="72">
        <f>Payout!L19+IF(Shares!B36=0,0,Shares!B22/Shares!B36*Payout!L15)</f>
        <v>0</v>
      </c>
      <c r="C274" s="72">
        <f>Payout!M19+IF(Shares!C36=0,0,Shares!C22/Shares!C36*Payout!M15)</f>
        <v>0</v>
      </c>
      <c r="D274" s="72">
        <f>Payout!N19+IF(Shares!D36=0,0,Shares!D22/Shares!D36*Payout!N15)</f>
        <v>0</v>
      </c>
      <c r="E274" s="20" t="str">
        <f>""</f>
        <v/>
      </c>
    </row>
    <row r="275" spans="1:5" ht="12.75" customHeight="1">
      <c r="A275" s="29" t="str">
        <f>"   "&amp;Labels!C90</f>
        <v xml:space="preserve">   Subtotal</v>
      </c>
      <c r="B275" s="44">
        <f>SUM(B273:B274)</f>
        <v>0</v>
      </c>
      <c r="C275" s="44">
        <f>SUM(C273:C274)</f>
        <v>0</v>
      </c>
      <c r="D275" s="44">
        <f>SUM(D273:D274)</f>
        <v>0</v>
      </c>
      <c r="E275" s="20" t="str">
        <f>""</f>
        <v/>
      </c>
    </row>
    <row r="276" spans="1:5" ht="12.75" customHeight="1">
      <c r="A276" s="4" t="str">
        <f>Labels!C82</f>
        <v>Total</v>
      </c>
      <c r="B276" s="167">
        <f>SUM(B266,B269:B271,B275)</f>
        <v>1100000</v>
      </c>
      <c r="C276" s="167">
        <f>SUM(C266,C269:C271,C275)</f>
        <v>2640000</v>
      </c>
      <c r="D276" s="167">
        <f>SUM(D266,D269:D271,D275)</f>
        <v>7220000</v>
      </c>
      <c r="E276" s="48" t="str">
        <f>""</f>
        <v/>
      </c>
    </row>
    <row r="277" spans="1:5" ht="12.75" customHeight="1">
      <c r="A277" s="1" t="str">
        <f>Labels!B39</f>
        <v>Units 'in the Money'</v>
      </c>
    </row>
    <row r="278" spans="1:5" ht="12.75" customHeight="1">
      <c r="A278" s="147" t="str">
        <f>Labels!D83</f>
        <v>Security</v>
      </c>
      <c r="B278" s="6" t="str">
        <f>Labels!B78</f>
        <v>Seed</v>
      </c>
      <c r="C278" s="7" t="str">
        <f>Labels!B79</f>
        <v>Round A</v>
      </c>
      <c r="D278" s="7" t="str">
        <f>Labels!B80</f>
        <v>Exit</v>
      </c>
      <c r="E278" s="17" t="str">
        <f>Labels!C77</f>
        <v>Total</v>
      </c>
    </row>
    <row r="279" spans="1:5" ht="12.75" customHeight="1">
      <c r="A279" s="11" t="str">
        <f>Labels!B83</f>
        <v>Conv Note</v>
      </c>
      <c r="B279" s="78"/>
      <c r="C279" s="78"/>
      <c r="D279" s="78"/>
      <c r="E279" s="87"/>
    </row>
    <row r="280" spans="1:5" ht="12.75" customHeight="1">
      <c r="A280" s="13" t="str">
        <f>"   "&amp;Labels!B84</f>
        <v xml:space="preserve">   Series B</v>
      </c>
      <c r="B280" s="80">
        <f t="shared" ref="B280:D281" si="2">0/3/10</f>
        <v>0</v>
      </c>
      <c r="C280" s="80">
        <f t="shared" si="2"/>
        <v>0</v>
      </c>
      <c r="D280" s="80">
        <f t="shared" si="2"/>
        <v>0</v>
      </c>
      <c r="E280" s="62">
        <f>SUM(B280:D280)</f>
        <v>0</v>
      </c>
    </row>
    <row r="281" spans="1:5" ht="12.75" customHeight="1">
      <c r="A281" s="13" t="str">
        <f>"   "&amp;Labels!B85</f>
        <v xml:space="preserve">   Series A</v>
      </c>
      <c r="B281" s="80">
        <f t="shared" si="2"/>
        <v>0</v>
      </c>
      <c r="C281" s="80">
        <f t="shared" si="2"/>
        <v>0</v>
      </c>
      <c r="D281" s="80">
        <f t="shared" si="2"/>
        <v>0</v>
      </c>
      <c r="E281" s="62">
        <f>SUM(B281:D281)</f>
        <v>0</v>
      </c>
    </row>
    <row r="282" spans="1:5" ht="12.75" customHeight="1">
      <c r="A282" s="29" t="str">
        <f>"   "&amp;Labels!C83</f>
        <v xml:space="preserve">   Subtotal</v>
      </c>
      <c r="B282" s="61">
        <f>SUM(B280:B281)</f>
        <v>0</v>
      </c>
      <c r="C282" s="61">
        <f>SUM(C280:C281)</f>
        <v>0</v>
      </c>
      <c r="D282" s="61">
        <f>SUM(D280:D281)</f>
        <v>0</v>
      </c>
      <c r="E282" s="62">
        <f>SUM(B282:D282)</f>
        <v>0</v>
      </c>
    </row>
    <row r="283" spans="1:5" ht="12.75" customHeight="1">
      <c r="A283" s="29" t="str">
        <f>Labels!B86</f>
        <v>Preferred</v>
      </c>
      <c r="B283" s="61"/>
      <c r="C283" s="61"/>
      <c r="D283" s="61"/>
      <c r="E283" s="62"/>
    </row>
    <row r="284" spans="1:5" ht="12.75" customHeight="1">
      <c r="A284" s="13" t="str">
        <f>"   "&amp;Labels!B87</f>
        <v xml:space="preserve">   Series A</v>
      </c>
      <c r="B284" s="80">
        <f>0/3/5</f>
        <v>0</v>
      </c>
      <c r="C284" s="80">
        <f>0/3/5</f>
        <v>0</v>
      </c>
      <c r="D284" s="80">
        <f>0/3/5</f>
        <v>0</v>
      </c>
      <c r="E284" s="62">
        <f>SUM(B284:D284)</f>
        <v>0</v>
      </c>
    </row>
    <row r="285" spans="1:5" ht="12.75" customHeight="1">
      <c r="A285" s="29" t="str">
        <f>"   "&amp;Labels!C86</f>
        <v xml:space="preserve">   Subtotal</v>
      </c>
      <c r="B285" s="61">
        <f>B284</f>
        <v>0</v>
      </c>
      <c r="C285" s="61">
        <f>C284</f>
        <v>0</v>
      </c>
      <c r="D285" s="61">
        <f>D284</f>
        <v>0</v>
      </c>
      <c r="E285" s="62">
        <f>SUM(B285:D285)</f>
        <v>0</v>
      </c>
    </row>
    <row r="286" spans="1:5" ht="12.75" customHeight="1">
      <c r="A286" s="29" t="str">
        <f>Labels!B88</f>
        <v>Common</v>
      </c>
      <c r="B286" s="61">
        <f>0/3/5</f>
        <v>0</v>
      </c>
      <c r="C286" s="61">
        <f>0/3/5</f>
        <v>0</v>
      </c>
      <c r="D286" s="61">
        <f>0/3/5</f>
        <v>0</v>
      </c>
      <c r="E286" s="62">
        <f>SUM(B286:D286)</f>
        <v>0</v>
      </c>
    </row>
    <row r="287" spans="1:5" ht="12.75" customHeight="1">
      <c r="A287" s="29" t="str">
        <f>Labels!B89</f>
        <v>Warrant</v>
      </c>
      <c r="B287" s="61">
        <f>Options!B19</f>
        <v>0</v>
      </c>
      <c r="C287" s="61">
        <f>Options!C19</f>
        <v>0</v>
      </c>
      <c r="D287" s="61">
        <f>Options!D19</f>
        <v>0</v>
      </c>
      <c r="E287" s="62">
        <f>Options!E19</f>
        <v>0</v>
      </c>
    </row>
    <row r="288" spans="1:5" ht="12.75" customHeight="1">
      <c r="A288" s="29" t="str">
        <f>Labels!B90</f>
        <v>Option</v>
      </c>
      <c r="B288" s="61"/>
      <c r="C288" s="61"/>
      <c r="D288" s="61"/>
      <c r="E288" s="62"/>
    </row>
    <row r="289" spans="1:5" ht="12.75" customHeight="1">
      <c r="A289" s="13" t="str">
        <f>"   "&amp;Labels!B91</f>
        <v xml:space="preserve">   Series B</v>
      </c>
      <c r="B289" s="80">
        <f>Options!B48</f>
        <v>0</v>
      </c>
      <c r="C289" s="80">
        <f>Options!C48</f>
        <v>0</v>
      </c>
      <c r="D289" s="80">
        <f>Options!D48</f>
        <v>0</v>
      </c>
      <c r="E289" s="62">
        <f>Options!E48</f>
        <v>0</v>
      </c>
    </row>
    <row r="290" spans="1:5" ht="12.75" customHeight="1">
      <c r="A290" s="13" t="str">
        <f>"   "&amp;Labels!B92</f>
        <v xml:space="preserve">   Series A</v>
      </c>
      <c r="B290" s="80">
        <f>Options!B49</f>
        <v>0</v>
      </c>
      <c r="C290" s="80">
        <f>Options!C49</f>
        <v>0</v>
      </c>
      <c r="D290" s="80">
        <f>Options!D49</f>
        <v>0</v>
      </c>
      <c r="E290" s="62">
        <f>Options!E49</f>
        <v>0</v>
      </c>
    </row>
    <row r="291" spans="1:5" ht="12.75" customHeight="1">
      <c r="A291" s="29" t="str">
        <f>"   "&amp;Labels!C90</f>
        <v xml:space="preserve">   Subtotal</v>
      </c>
      <c r="B291" s="61">
        <f>Options!B50</f>
        <v>0</v>
      </c>
      <c r="C291" s="61">
        <f>Options!C50</f>
        <v>0</v>
      </c>
      <c r="D291" s="61">
        <f>Options!D50</f>
        <v>0</v>
      </c>
      <c r="E291" s="62">
        <f>Options!E50</f>
        <v>0</v>
      </c>
    </row>
    <row r="292" spans="1:5" ht="12.75" customHeight="1">
      <c r="A292" s="4" t="str">
        <f>Labels!C82</f>
        <v>Total</v>
      </c>
      <c r="B292" s="159">
        <f>SUM(B282,B285:B286,Options!B19,Options!B50)</f>
        <v>0</v>
      </c>
      <c r="C292" s="159">
        <f>SUM(C282,C285:C286,Options!C19,Options!C50)</f>
        <v>0</v>
      </c>
      <c r="D292" s="159">
        <f>SUM(D282,D285:D286,Options!D19,Options!D50)</f>
        <v>0</v>
      </c>
      <c r="E292" s="160">
        <f>SUM(B292:D292)</f>
        <v>0</v>
      </c>
    </row>
    <row r="293" spans="1:5" ht="12.75" customHeight="1">
      <c r="A293" s="1" t="str">
        <f>Labels!B42</f>
        <v>Payout by Origin %</v>
      </c>
    </row>
    <row r="294" spans="1:5" ht="12.75" customHeight="1">
      <c r="A294" s="147" t="str">
        <f>Labels!D83</f>
        <v>Security</v>
      </c>
      <c r="B294" s="6" t="str">
        <f>Labels!B78</f>
        <v>Seed</v>
      </c>
      <c r="C294" s="7" t="str">
        <f>Labels!B79</f>
        <v>Round A</v>
      </c>
      <c r="D294" s="7" t="str">
        <f>Labels!B80</f>
        <v>Exit</v>
      </c>
      <c r="E294" s="17" t="str">
        <f>Labels!C77</f>
        <v>Total</v>
      </c>
    </row>
    <row r="295" spans="1:5" ht="12.75" customHeight="1">
      <c r="A295" s="11" t="str">
        <f>Labels!B83</f>
        <v>Conv Note</v>
      </c>
      <c r="B295" s="90"/>
      <c r="C295" s="90"/>
      <c r="D295" s="90"/>
      <c r="E295" s="66"/>
    </row>
    <row r="296" spans="1:5" ht="12.75" customHeight="1">
      <c r="A296" s="13" t="str">
        <f>"   "&amp;Labels!B84</f>
        <v xml:space="preserve">   Series B</v>
      </c>
      <c r="B296" s="92">
        <f>B264/B276</f>
        <v>0</v>
      </c>
      <c r="C296" s="92">
        <f>C264/C276</f>
        <v>0</v>
      </c>
      <c r="D296" s="92">
        <f>D264/D276</f>
        <v>0</v>
      </c>
      <c r="E296" s="68" t="str">
        <f>" "</f>
        <v xml:space="preserve"> </v>
      </c>
    </row>
    <row r="297" spans="1:5" ht="12.75" customHeight="1">
      <c r="A297" s="13" t="str">
        <f>"   "&amp;Labels!B85</f>
        <v xml:space="preserve">   Series A</v>
      </c>
      <c r="B297" s="92">
        <f>B265/B276</f>
        <v>0</v>
      </c>
      <c r="C297" s="92">
        <f>C265/C276</f>
        <v>0</v>
      </c>
      <c r="D297" s="92">
        <f>D265/D276</f>
        <v>0</v>
      </c>
      <c r="E297" s="68" t="str">
        <f>" "</f>
        <v xml:space="preserve"> </v>
      </c>
    </row>
    <row r="298" spans="1:5" ht="12.75" customHeight="1">
      <c r="A298" s="29" t="str">
        <f>"   "&amp;Labels!C83</f>
        <v xml:space="preserve">   Subtotal</v>
      </c>
      <c r="B298" s="124">
        <f>B266/B276</f>
        <v>0</v>
      </c>
      <c r="C298" s="124">
        <f>C266/C276</f>
        <v>0</v>
      </c>
      <c r="D298" s="124">
        <f>D266/D276</f>
        <v>0</v>
      </c>
      <c r="E298" s="68" t="str">
        <f>" "</f>
        <v xml:space="preserve"> </v>
      </c>
    </row>
    <row r="299" spans="1:5" ht="12.75" customHeight="1">
      <c r="A299" s="29" t="str">
        <f>Labels!B86</f>
        <v>Preferred</v>
      </c>
      <c r="B299" s="124"/>
      <c r="C299" s="124"/>
      <c r="D299" s="124"/>
      <c r="E299" s="68"/>
    </row>
    <row r="300" spans="1:5" ht="12.75" customHeight="1">
      <c r="A300" s="13" t="str">
        <f>"   "&amp;Labels!B87</f>
        <v xml:space="preserve">   Series A</v>
      </c>
      <c r="B300" s="92">
        <f>B268/B276</f>
        <v>0</v>
      </c>
      <c r="C300" s="92">
        <f>C268/C276</f>
        <v>0</v>
      </c>
      <c r="D300" s="92">
        <f>D268/D276</f>
        <v>0</v>
      </c>
      <c r="E300" s="68" t="str">
        <f>" "</f>
        <v xml:space="preserve"> </v>
      </c>
    </row>
    <row r="301" spans="1:5" ht="12.75" customHeight="1">
      <c r="A301" s="29" t="str">
        <f>"   "&amp;Labels!C86</f>
        <v xml:space="preserve">   Subtotal</v>
      </c>
      <c r="B301" s="124">
        <f>B269/B276</f>
        <v>0</v>
      </c>
      <c r="C301" s="124">
        <f>C269/C276</f>
        <v>0</v>
      </c>
      <c r="D301" s="124">
        <f>D269/D276</f>
        <v>0</v>
      </c>
      <c r="E301" s="68" t="str">
        <f>" "</f>
        <v xml:space="preserve"> </v>
      </c>
    </row>
    <row r="302" spans="1:5" ht="12.75" customHeight="1">
      <c r="A302" s="29" t="str">
        <f>Labels!B88</f>
        <v>Common</v>
      </c>
      <c r="B302" s="124">
        <f>B270/B276</f>
        <v>1</v>
      </c>
      <c r="C302" s="124">
        <f>C270/C276</f>
        <v>1</v>
      </c>
      <c r="D302" s="124">
        <f>D270/D276</f>
        <v>1</v>
      </c>
      <c r="E302" s="68" t="str">
        <f>" "</f>
        <v xml:space="preserve"> </v>
      </c>
    </row>
    <row r="303" spans="1:5" ht="12.75" customHeight="1">
      <c r="A303" s="29" t="str">
        <f>Labels!B89</f>
        <v>Warrant</v>
      </c>
      <c r="B303" s="124">
        <f>B271/B276</f>
        <v>0</v>
      </c>
      <c r="C303" s="124">
        <f>C271/C276</f>
        <v>0</v>
      </c>
      <c r="D303" s="124">
        <f>D271/D276</f>
        <v>0</v>
      </c>
      <c r="E303" s="68" t="str">
        <f>" "</f>
        <v xml:space="preserve"> </v>
      </c>
    </row>
    <row r="304" spans="1:5" ht="12.75" customHeight="1">
      <c r="A304" s="29" t="str">
        <f>Labels!B90</f>
        <v>Option</v>
      </c>
      <c r="B304" s="124"/>
      <c r="C304" s="124"/>
      <c r="D304" s="124"/>
      <c r="E304" s="68"/>
    </row>
    <row r="305" spans="1:5" ht="12.75" customHeight="1">
      <c r="A305" s="13" t="str">
        <f>"   "&amp;Labels!B91</f>
        <v xml:space="preserve">   Series B</v>
      </c>
      <c r="B305" s="92">
        <f>B273/B276</f>
        <v>0</v>
      </c>
      <c r="C305" s="92">
        <f>C273/C276</f>
        <v>0</v>
      </c>
      <c r="D305" s="92">
        <f>D273/D276</f>
        <v>0</v>
      </c>
      <c r="E305" s="68" t="str">
        <f>" "</f>
        <v xml:space="preserve"> </v>
      </c>
    </row>
    <row r="306" spans="1:5" ht="12.75" customHeight="1">
      <c r="A306" s="13" t="str">
        <f>"   "&amp;Labels!B92</f>
        <v xml:space="preserve">   Series A</v>
      </c>
      <c r="B306" s="92">
        <f>B274/B276</f>
        <v>0</v>
      </c>
      <c r="C306" s="92">
        <f>C274/C276</f>
        <v>0</v>
      </c>
      <c r="D306" s="92">
        <f>D274/D276</f>
        <v>0</v>
      </c>
      <c r="E306" s="68" t="str">
        <f>" "</f>
        <v xml:space="preserve"> </v>
      </c>
    </row>
    <row r="307" spans="1:5" ht="12.75" customHeight="1">
      <c r="A307" s="29" t="str">
        <f>"   "&amp;Labels!C90</f>
        <v xml:space="preserve">   Subtotal</v>
      </c>
      <c r="B307" s="124">
        <f>B275/B276</f>
        <v>0</v>
      </c>
      <c r="C307" s="124">
        <f>C275/C276</f>
        <v>0</v>
      </c>
      <c r="D307" s="124">
        <f>D275/D276</f>
        <v>0</v>
      </c>
      <c r="E307" s="68" t="str">
        <f>" "</f>
        <v xml:space="preserve"> </v>
      </c>
    </row>
    <row r="308" spans="1:5" ht="12.75" customHeight="1">
      <c r="A308" s="4" t="str">
        <f>Labels!C82</f>
        <v>Total</v>
      </c>
      <c r="B308" s="170">
        <f>B276/B276</f>
        <v>1</v>
      </c>
      <c r="C308" s="170">
        <f>C276/C276</f>
        <v>1</v>
      </c>
      <c r="D308" s="170">
        <f>D276/D276</f>
        <v>1</v>
      </c>
      <c r="E308" s="171" t="str">
        <f>" "</f>
        <v xml:space="preserve"> </v>
      </c>
    </row>
    <row r="309" spans="1:5" ht="12.75" customHeight="1">
      <c r="A309" s="1" t="str">
        <f>Labels!B30</f>
        <v>Cash Flow</v>
      </c>
    </row>
    <row r="310" spans="1:5" ht="12.75" customHeight="1">
      <c r="A310" s="147" t="str">
        <f>Labels!D83</f>
        <v>Security</v>
      </c>
      <c r="B310" s="6" t="str">
        <f>Labels!B78</f>
        <v>Seed</v>
      </c>
      <c r="C310" s="7" t="str">
        <f>Labels!B79</f>
        <v>Round A</v>
      </c>
      <c r="D310" s="7" t="str">
        <f>Labels!B80</f>
        <v>Exit</v>
      </c>
      <c r="E310" s="17" t="str">
        <f>Labels!C77</f>
        <v>Total</v>
      </c>
    </row>
    <row r="311" spans="1:5" ht="12.75" customHeight="1">
      <c r="A311" s="11" t="str">
        <f>Labels!B83</f>
        <v>Conv Note</v>
      </c>
      <c r="B311" s="18"/>
      <c r="C311" s="18"/>
      <c r="D311" s="18"/>
      <c r="E311" s="12"/>
    </row>
    <row r="312" spans="1:5" ht="12.75" customHeight="1">
      <c r="A312" s="13" t="str">
        <f>"   "&amp;Labels!B84</f>
        <v xml:space="preserve">   Series B</v>
      </c>
      <c r="B312" s="72">
        <f>Investment!B68+Investment!B98+0*0-IF(ISERROR(C264),B264,0)</f>
        <v>0</v>
      </c>
      <c r="C312" s="72">
        <f>Investment!C68+Investment!C98+0-IF(ISERROR(D264),C264,0)</f>
        <v>0</v>
      </c>
      <c r="D312" s="72">
        <f>Investment!D68+Investment!D98+0-IF(ISERROR(#REF!),D264,0)</f>
        <v>0</v>
      </c>
      <c r="E312" s="20" t="str">
        <f>""</f>
        <v/>
      </c>
    </row>
    <row r="313" spans="1:5" ht="12.75" customHeight="1">
      <c r="A313" s="13" t="str">
        <f>"   "&amp;Labels!B85</f>
        <v xml:space="preserve">   Series A</v>
      </c>
      <c r="B313" s="72">
        <f>Investment!B69+Investment!B99+0*0-IF(ISERROR(C265),B265,0)</f>
        <v>0</v>
      </c>
      <c r="C313" s="72">
        <f>Investment!C69+Investment!C99+0-IF(ISERROR(D265),C265,0)</f>
        <v>0</v>
      </c>
      <c r="D313" s="72">
        <f>Investment!D69+Investment!D99+0-IF(ISERROR(#REF!),D265,0)</f>
        <v>0</v>
      </c>
      <c r="E313" s="20" t="str">
        <f>""</f>
        <v/>
      </c>
    </row>
    <row r="314" spans="1:5" ht="12.75" customHeight="1">
      <c r="A314" s="29" t="str">
        <f>"   "&amp;Labels!C83</f>
        <v xml:space="preserve">   Subtotal</v>
      </c>
      <c r="B314" s="44">
        <f>SUM(B312:B313)</f>
        <v>0</v>
      </c>
      <c r="C314" s="44">
        <f>SUM(C312:C313)</f>
        <v>0</v>
      </c>
      <c r="D314" s="44">
        <f>SUM(D312:D313)</f>
        <v>0</v>
      </c>
      <c r="E314" s="20" t="str">
        <f>""</f>
        <v/>
      </c>
    </row>
    <row r="315" spans="1:5" ht="12.75" customHeight="1">
      <c r="A315" s="29" t="str">
        <f>Labels!B86</f>
        <v>Preferred</v>
      </c>
      <c r="B315" s="44"/>
      <c r="C315" s="44"/>
      <c r="D315" s="44"/>
      <c r="E315" s="20"/>
    </row>
    <row r="316" spans="1:5" ht="12.75" customHeight="1">
      <c r="A316" s="13" t="str">
        <f>"   "&amp;Labels!B87</f>
        <v xml:space="preserve">   Series A</v>
      </c>
      <c r="B316" s="72">
        <f>Investment!B72+Investment!B102+0*0-IF(ISERROR(C268),B268,0)</f>
        <v>0</v>
      </c>
      <c r="C316" s="72">
        <f>Investment!C72+Investment!C102+0-IF(ISERROR(D268),C268,0)</f>
        <v>0</v>
      </c>
      <c r="D316" s="72">
        <f>Investment!D72+Investment!D102+0-IF(ISERROR(#REF!),D268,0)</f>
        <v>0</v>
      </c>
      <c r="E316" s="20" t="str">
        <f>""</f>
        <v/>
      </c>
    </row>
    <row r="317" spans="1:5" ht="12.75" customHeight="1">
      <c r="A317" s="29" t="str">
        <f>"   "&amp;Labels!C86</f>
        <v xml:space="preserve">   Subtotal</v>
      </c>
      <c r="B317" s="44">
        <f>SUM(B316)</f>
        <v>0</v>
      </c>
      <c r="C317" s="44">
        <f>SUM(C316)</f>
        <v>0</v>
      </c>
      <c r="D317" s="44">
        <f>SUM(D316)</f>
        <v>0</v>
      </c>
      <c r="E317" s="20" t="str">
        <f>""</f>
        <v/>
      </c>
    </row>
    <row r="318" spans="1:5" ht="12.75" customHeight="1">
      <c r="A318" s="29" t="str">
        <f>Labels!B88</f>
        <v>Common</v>
      </c>
      <c r="B318" s="44">
        <f>Investment!B74+Investment!B104+0*0-IF(ISERROR(C270),B270,0)</f>
        <v>100000</v>
      </c>
      <c r="C318" s="44">
        <f>Investment!C74+Investment!C104+0-IF(ISERROR(D270),C270,0)</f>
        <v>0</v>
      </c>
      <c r="D318" s="44">
        <f>Investment!D74+Investment!D104+0-IF(ISERROR(#REF!),D270,0)</f>
        <v>-7220000</v>
      </c>
      <c r="E318" s="20" t="str">
        <f>""</f>
        <v/>
      </c>
    </row>
    <row r="319" spans="1:5" ht="12.75" customHeight="1">
      <c r="A319" s="29" t="str">
        <f>Labels!B89</f>
        <v>Warrant</v>
      </c>
      <c r="B319" s="44">
        <f>Investment!B75+Investment!B105+0*0-IF(ISERROR(C271),B271,0)</f>
        <v>0</v>
      </c>
      <c r="C319" s="44">
        <f>Investment!C75+Investment!C105+0-IF(ISERROR(D271),C271,0)</f>
        <v>0</v>
      </c>
      <c r="D319" s="44">
        <f>Investment!D75+Investment!D105+0-IF(ISERROR(#REF!),D271,0)</f>
        <v>0</v>
      </c>
      <c r="E319" s="20" t="str">
        <f>""</f>
        <v/>
      </c>
    </row>
    <row r="320" spans="1:5" ht="12.75" customHeight="1">
      <c r="A320" s="29" t="str">
        <f>Labels!B90</f>
        <v>Option</v>
      </c>
      <c r="B320" s="44"/>
      <c r="C320" s="44"/>
      <c r="D320" s="44"/>
      <c r="E320" s="20"/>
    </row>
    <row r="321" spans="1:5" ht="12.75" customHeight="1">
      <c r="A321" s="13" t="str">
        <f>"   "&amp;Labels!B91</f>
        <v xml:space="preserve">   Series B</v>
      </c>
      <c r="B321" s="72">
        <f>Investment!B77+Investment!B107+0*0-IF(ISERROR(C273),B273,0)</f>
        <v>0</v>
      </c>
      <c r="C321" s="72">
        <f>Investment!C77+Investment!C107+0-IF(ISERROR(D273),C273,0)</f>
        <v>0</v>
      </c>
      <c r="D321" s="72">
        <f>Investment!D77+Investment!D107+0-IF(ISERROR(#REF!),D273,0)</f>
        <v>0</v>
      </c>
      <c r="E321" s="20" t="str">
        <f>""</f>
        <v/>
      </c>
    </row>
    <row r="322" spans="1:5" ht="12.75" customHeight="1">
      <c r="A322" s="13" t="str">
        <f>"   "&amp;Labels!B92</f>
        <v xml:space="preserve">   Series A</v>
      </c>
      <c r="B322" s="72">
        <f>Investment!B78+Investment!B108+0*0-IF(ISERROR(C274),B274,0)</f>
        <v>0</v>
      </c>
      <c r="C322" s="72">
        <f>Investment!C78+Investment!C108+0-IF(ISERROR(D274),C274,0)</f>
        <v>0</v>
      </c>
      <c r="D322" s="72">
        <f>Investment!D78+Investment!D108+0-IF(ISERROR(#REF!),D274,0)</f>
        <v>0</v>
      </c>
      <c r="E322" s="20" t="str">
        <f>""</f>
        <v/>
      </c>
    </row>
    <row r="323" spans="1:5" ht="12.75" customHeight="1">
      <c r="A323" s="29" t="str">
        <f>"   "&amp;Labels!C90</f>
        <v xml:space="preserve">   Subtotal</v>
      </c>
      <c r="B323" s="44">
        <f>SUM(B321:B322)</f>
        <v>0</v>
      </c>
      <c r="C323" s="44">
        <f>SUM(C321:C322)</f>
        <v>0</v>
      </c>
      <c r="D323" s="44">
        <f>SUM(D321:D322)</f>
        <v>0</v>
      </c>
      <c r="E323" s="20" t="str">
        <f>""</f>
        <v/>
      </c>
    </row>
    <row r="324" spans="1:5" ht="12.75" customHeight="1">
      <c r="A324" s="4" t="str">
        <f>Labels!C82</f>
        <v>Total</v>
      </c>
      <c r="B324" s="167">
        <f>SUM(B314,B317:B319,B323)</f>
        <v>100000</v>
      </c>
      <c r="C324" s="167">
        <f>SUM(C314,C317:C319,C323)</f>
        <v>0</v>
      </c>
      <c r="D324" s="167">
        <f>SUM(D314,D317:D319,D323)</f>
        <v>-7220000</v>
      </c>
      <c r="E324" s="48" t="str">
        <f>""</f>
        <v/>
      </c>
    </row>
  </sheetData>
  <mergeCells count="3">
    <mergeCell ref="A1:D1"/>
    <mergeCell ref="A2:D2"/>
    <mergeCell ref="A3:D3"/>
  </mergeCells>
  <pageMargins left="0.75" right="0.75" top="1" bottom="1" header="0.5" footer="0.5"/>
  <pageSetup paperSize="9" orientation="landscape" horizontalDpi="0" verticalDpi="0" copies="0"/>
  <headerFooter alignWithMargins="0"/>
  <legacyDrawing r:id="rId1"/>
</worksheet>
</file>

<file path=xl/worksheets/sheet13.xml><?xml version="1.0" encoding="utf-8"?>
<worksheet xmlns="http://schemas.openxmlformats.org/spreadsheetml/2006/main" xmlns:r="http://schemas.openxmlformats.org/officeDocument/2006/relationships">
  <sheetPr>
    <outlinePr summaryBelow="0" summaryRight="0"/>
  </sheetPr>
  <dimension ref="A1:E92"/>
  <sheetViews>
    <sheetView workbookViewId="0"/>
  </sheetViews>
  <sheetFormatPr defaultRowHeight="12.75" customHeight="1"/>
  <cols>
    <col min="1" max="1" width="29.85546875" customWidth="1"/>
    <col min="2" max="2" width="25.28515625" customWidth="1"/>
    <col min="3" max="3" width="9.140625" customWidth="1"/>
    <col min="4" max="4" width="19.140625" customWidth="1"/>
    <col min="5" max="5" width="60.7109375" style="181" customWidth="1"/>
  </cols>
  <sheetData>
    <row r="1" spans="1:5" ht="12.75" customHeight="1">
      <c r="A1" s="214" t="str">
        <f>"Capitalization Table"</f>
        <v>Capitalization Table</v>
      </c>
      <c r="B1" s="214"/>
      <c r="C1" s="214"/>
      <c r="D1" s="214"/>
    </row>
    <row r="2" spans="1:5" ht="12.75" customHeight="1">
      <c r="A2" s="214" t="str">
        <f>Inputs!B8</f>
        <v>ABC Corp.</v>
      </c>
      <c r="B2" s="214"/>
      <c r="C2" s="214"/>
      <c r="D2" s="214"/>
    </row>
    <row r="3" spans="1:5" ht="12.75" customHeight="1">
      <c r="A3" s="214" t="str">
        <f>IF("Labels"="(Default Input)","Ignore this sheet in normal use.","Investment Scenario "&amp;1&amp;", Valuation Scenario "&amp;1)</f>
        <v>Investment Scenario 1, Valuation Scenario 1</v>
      </c>
      <c r="B3" s="214"/>
      <c r="C3" s="214"/>
      <c r="D3" s="214"/>
    </row>
    <row r="4" spans="1:5" ht="12.75" customHeight="1">
      <c r="A4" s="172" t="s">
        <v>228</v>
      </c>
      <c r="B4" s="172" t="s">
        <v>443</v>
      </c>
      <c r="C4" s="172"/>
      <c r="D4" s="172"/>
      <c r="E4" s="179" t="s">
        <v>620</v>
      </c>
    </row>
    <row r="5" spans="1:5" ht="12.75" customHeight="1">
      <c r="A5" s="173" t="s">
        <v>48</v>
      </c>
      <c r="B5" s="174" t="s">
        <v>49</v>
      </c>
      <c r="C5" s="175"/>
      <c r="D5" s="175"/>
      <c r="E5" s="180" t="s">
        <v>2</v>
      </c>
    </row>
    <row r="6" spans="1:5" ht="102" customHeight="1">
      <c r="A6" s="173" t="s">
        <v>202</v>
      </c>
      <c r="B6" s="174" t="s">
        <v>55</v>
      </c>
      <c r="C6" s="175"/>
      <c r="D6" s="175"/>
      <c r="E6" s="180" t="s">
        <v>688</v>
      </c>
    </row>
    <row r="7" spans="1:5" ht="204.75" customHeight="1">
      <c r="A7" s="173" t="s">
        <v>492</v>
      </c>
      <c r="B7" s="174" t="s">
        <v>12</v>
      </c>
      <c r="C7" s="175"/>
      <c r="D7" s="175"/>
      <c r="E7" s="180" t="s">
        <v>46</v>
      </c>
    </row>
    <row r="8" spans="1:5" ht="45.75" customHeight="1">
      <c r="A8" s="173" t="s">
        <v>596</v>
      </c>
      <c r="B8" s="174" t="s">
        <v>510</v>
      </c>
      <c r="C8" s="175"/>
      <c r="D8" s="175"/>
      <c r="E8" s="180" t="s">
        <v>5</v>
      </c>
    </row>
    <row r="9" spans="1:5" ht="33.75" customHeight="1">
      <c r="A9" s="173" t="s">
        <v>89</v>
      </c>
      <c r="B9" s="174" t="s">
        <v>137</v>
      </c>
      <c r="C9" s="175"/>
      <c r="D9" s="175"/>
      <c r="E9" s="180" t="s">
        <v>157</v>
      </c>
    </row>
    <row r="10" spans="1:5" ht="45.75" customHeight="1">
      <c r="A10" s="173" t="s">
        <v>26</v>
      </c>
      <c r="B10" s="174" t="s">
        <v>203</v>
      </c>
      <c r="C10" s="175"/>
      <c r="D10" s="175"/>
      <c r="E10" s="180" t="s">
        <v>267</v>
      </c>
    </row>
    <row r="11" spans="1:5" ht="33.75" customHeight="1">
      <c r="A11" s="173" t="s">
        <v>476</v>
      </c>
      <c r="B11" s="174" t="s">
        <v>567</v>
      </c>
      <c r="C11" s="175"/>
      <c r="D11" s="175"/>
      <c r="E11" s="180" t="s">
        <v>181</v>
      </c>
    </row>
    <row r="12" spans="1:5" ht="90.75" customHeight="1">
      <c r="A12" s="173" t="s">
        <v>451</v>
      </c>
      <c r="B12" s="174" t="s">
        <v>232</v>
      </c>
      <c r="C12" s="175"/>
      <c r="D12" s="175"/>
      <c r="E12" s="180" t="s">
        <v>258</v>
      </c>
    </row>
    <row r="13" spans="1:5" ht="33.75" customHeight="1">
      <c r="A13" s="173" t="s">
        <v>100</v>
      </c>
      <c r="B13" s="174" t="s">
        <v>574</v>
      </c>
      <c r="C13" s="175"/>
      <c r="D13" s="175"/>
      <c r="E13" s="180" t="s">
        <v>675</v>
      </c>
    </row>
    <row r="14" spans="1:5" ht="22.5" customHeight="1">
      <c r="A14" s="173" t="s">
        <v>215</v>
      </c>
      <c r="B14" s="174" t="s">
        <v>118</v>
      </c>
      <c r="C14" s="175"/>
      <c r="D14" s="175"/>
      <c r="E14" s="180" t="s">
        <v>171</v>
      </c>
    </row>
    <row r="15" spans="1:5" ht="22.5" customHeight="1">
      <c r="A15" s="173" t="s">
        <v>259</v>
      </c>
      <c r="B15" s="174" t="s">
        <v>259</v>
      </c>
      <c r="C15" s="175"/>
      <c r="D15" s="175"/>
      <c r="E15" s="180" t="s">
        <v>302</v>
      </c>
    </row>
    <row r="16" spans="1:5" ht="45.75" customHeight="1">
      <c r="A16" s="173" t="s">
        <v>253</v>
      </c>
      <c r="B16" s="174" t="s">
        <v>419</v>
      </c>
      <c r="C16" s="175"/>
      <c r="D16" s="175"/>
      <c r="E16" s="180" t="s">
        <v>33</v>
      </c>
    </row>
    <row r="17" spans="1:5" ht="12.75" customHeight="1">
      <c r="A17" s="173" t="s">
        <v>308</v>
      </c>
      <c r="B17" s="174" t="s">
        <v>617</v>
      </c>
      <c r="C17" s="175"/>
      <c r="D17" s="175"/>
      <c r="E17" s="180" t="s">
        <v>230</v>
      </c>
    </row>
    <row r="18" spans="1:5" ht="22.5" customHeight="1">
      <c r="A18" s="173" t="s">
        <v>221</v>
      </c>
      <c r="B18" s="174" t="s">
        <v>15</v>
      </c>
      <c r="C18" s="175"/>
      <c r="D18" s="175"/>
      <c r="E18" s="180" t="s">
        <v>663</v>
      </c>
    </row>
    <row r="19" spans="1:5" ht="12.75" customHeight="1">
      <c r="A19" s="173" t="s">
        <v>182</v>
      </c>
      <c r="B19" s="174" t="s">
        <v>57</v>
      </c>
      <c r="C19" s="175"/>
      <c r="D19" s="175"/>
      <c r="E19" s="180" t="s">
        <v>529</v>
      </c>
    </row>
    <row r="20" spans="1:5" ht="12.75" customHeight="1">
      <c r="A20" s="173" t="s">
        <v>371</v>
      </c>
      <c r="B20" s="174" t="s">
        <v>57</v>
      </c>
      <c r="C20" s="175"/>
      <c r="D20" s="175"/>
      <c r="E20" s="180" t="s">
        <v>512</v>
      </c>
    </row>
    <row r="21" spans="1:5" ht="45.75" customHeight="1">
      <c r="A21" s="173" t="s">
        <v>169</v>
      </c>
      <c r="B21" s="174" t="s">
        <v>22</v>
      </c>
      <c r="C21" s="175"/>
      <c r="D21" s="175"/>
      <c r="E21" s="180" t="s">
        <v>627</v>
      </c>
    </row>
    <row r="22" spans="1:5" ht="12.75" customHeight="1">
      <c r="A22" s="173" t="s">
        <v>74</v>
      </c>
      <c r="B22" s="174" t="s">
        <v>445</v>
      </c>
      <c r="C22" s="175"/>
      <c r="D22" s="175"/>
      <c r="E22" s="180" t="s">
        <v>605</v>
      </c>
    </row>
    <row r="23" spans="1:5" ht="12.75" customHeight="1">
      <c r="A23" s="173" t="s">
        <v>395</v>
      </c>
      <c r="B23" s="174" t="s">
        <v>22</v>
      </c>
      <c r="C23" s="175"/>
      <c r="D23" s="175"/>
      <c r="E23" s="180" t="s">
        <v>605</v>
      </c>
    </row>
    <row r="24" spans="1:5" ht="33.75" customHeight="1">
      <c r="A24" s="173" t="s">
        <v>666</v>
      </c>
      <c r="B24" s="174" t="s">
        <v>76</v>
      </c>
      <c r="C24" s="175"/>
      <c r="D24" s="175"/>
      <c r="E24" s="180" t="s">
        <v>195</v>
      </c>
    </row>
    <row r="25" spans="1:5" ht="33.75" customHeight="1">
      <c r="A25" s="173" t="s">
        <v>205</v>
      </c>
      <c r="B25" s="174" t="s">
        <v>76</v>
      </c>
      <c r="C25" s="175"/>
      <c r="D25" s="175"/>
      <c r="E25" s="180" t="s">
        <v>195</v>
      </c>
    </row>
    <row r="26" spans="1:5" ht="125.25" customHeight="1">
      <c r="A26" s="173" t="s">
        <v>632</v>
      </c>
      <c r="B26" s="174" t="s">
        <v>495</v>
      </c>
      <c r="C26" s="175"/>
      <c r="D26" s="175"/>
      <c r="E26" s="180" t="s">
        <v>216</v>
      </c>
    </row>
    <row r="27" spans="1:5" ht="147.75" customHeight="1">
      <c r="A27" s="173" t="s">
        <v>540</v>
      </c>
      <c r="B27" s="174" t="s">
        <v>527</v>
      </c>
      <c r="C27" s="175"/>
      <c r="D27" s="175"/>
      <c r="E27" s="180" t="s">
        <v>683</v>
      </c>
    </row>
    <row r="28" spans="1:5" ht="33.75" customHeight="1">
      <c r="A28" s="173" t="s">
        <v>120</v>
      </c>
      <c r="B28" s="174" t="s">
        <v>514</v>
      </c>
      <c r="C28" s="175"/>
      <c r="D28" s="175"/>
      <c r="E28" s="180" t="s">
        <v>362</v>
      </c>
    </row>
    <row r="29" spans="1:5" ht="45.75" customHeight="1">
      <c r="A29" s="173" t="s">
        <v>503</v>
      </c>
      <c r="B29" s="174" t="s">
        <v>514</v>
      </c>
      <c r="C29" s="175"/>
      <c r="D29" s="175"/>
      <c r="E29" s="180" t="s">
        <v>271</v>
      </c>
    </row>
    <row r="30" spans="1:5" ht="33.75" customHeight="1">
      <c r="A30" s="173" t="s">
        <v>422</v>
      </c>
      <c r="B30" s="174" t="s">
        <v>413</v>
      </c>
      <c r="C30" s="175"/>
      <c r="D30" s="175"/>
      <c r="E30" s="180" t="s">
        <v>409</v>
      </c>
    </row>
    <row r="31" spans="1:5" ht="22.5" customHeight="1">
      <c r="A31" s="173" t="s">
        <v>482</v>
      </c>
      <c r="B31" s="174" t="s">
        <v>341</v>
      </c>
      <c r="C31" s="175"/>
      <c r="D31" s="175"/>
      <c r="E31" s="180" t="s">
        <v>660</v>
      </c>
    </row>
    <row r="32" spans="1:5" ht="33.75" customHeight="1">
      <c r="A32" s="173" t="s">
        <v>198</v>
      </c>
      <c r="B32" s="174" t="s">
        <v>692</v>
      </c>
      <c r="C32" s="175"/>
      <c r="D32" s="175"/>
      <c r="E32" s="180" t="s">
        <v>539</v>
      </c>
    </row>
    <row r="33" spans="1:5" ht="22.5" customHeight="1">
      <c r="A33" s="173" t="s">
        <v>238</v>
      </c>
      <c r="B33" s="174" t="s">
        <v>98</v>
      </c>
      <c r="C33" s="175"/>
      <c r="D33" s="175"/>
      <c r="E33" s="180" t="s">
        <v>220</v>
      </c>
    </row>
    <row r="34" spans="1:5" ht="33.75" customHeight="1">
      <c r="A34" s="173" t="s">
        <v>336</v>
      </c>
      <c r="B34" s="174" t="s">
        <v>149</v>
      </c>
      <c r="C34" s="175"/>
      <c r="D34" s="175"/>
      <c r="E34" s="180" t="s">
        <v>176</v>
      </c>
    </row>
    <row r="35" spans="1:5" ht="33.75" customHeight="1">
      <c r="A35" s="173" t="s">
        <v>635</v>
      </c>
      <c r="B35" s="174" t="s">
        <v>209</v>
      </c>
      <c r="C35" s="175"/>
      <c r="D35" s="175"/>
      <c r="E35" s="180" t="s">
        <v>158</v>
      </c>
    </row>
    <row r="36" spans="1:5" ht="22.5" customHeight="1">
      <c r="A36" s="173" t="s">
        <v>368</v>
      </c>
      <c r="B36" s="174" t="s">
        <v>243</v>
      </c>
      <c r="C36" s="175"/>
      <c r="D36" s="175"/>
      <c r="E36" s="180" t="s">
        <v>646</v>
      </c>
    </row>
    <row r="37" spans="1:5" ht="33.75" customHeight="1">
      <c r="A37" s="173" t="s">
        <v>517</v>
      </c>
      <c r="B37" s="174" t="s">
        <v>607</v>
      </c>
      <c r="C37" s="175"/>
      <c r="D37" s="175"/>
      <c r="E37" s="180" t="s">
        <v>196</v>
      </c>
    </row>
    <row r="38" spans="1:5" ht="45.75" customHeight="1">
      <c r="A38" s="173" t="s">
        <v>284</v>
      </c>
      <c r="B38" s="174" t="s">
        <v>343</v>
      </c>
      <c r="C38" s="175"/>
      <c r="D38" s="175"/>
      <c r="E38" s="180" t="s">
        <v>364</v>
      </c>
    </row>
    <row r="39" spans="1:5" ht="22.5" customHeight="1">
      <c r="A39" s="173" t="s">
        <v>71</v>
      </c>
      <c r="B39" s="174" t="s">
        <v>423</v>
      </c>
      <c r="C39" s="175"/>
      <c r="D39" s="175"/>
      <c r="E39" s="180" t="s">
        <v>568</v>
      </c>
    </row>
    <row r="40" spans="1:5" ht="45.75" customHeight="1">
      <c r="A40" s="173" t="s">
        <v>144</v>
      </c>
      <c r="B40" s="174" t="s">
        <v>161</v>
      </c>
      <c r="C40" s="175"/>
      <c r="D40" s="175"/>
      <c r="E40" s="180" t="s">
        <v>313</v>
      </c>
    </row>
    <row r="41" spans="1:5" ht="45.75" customHeight="1">
      <c r="A41" s="173" t="s">
        <v>73</v>
      </c>
      <c r="B41" s="174" t="s">
        <v>161</v>
      </c>
      <c r="C41" s="175"/>
      <c r="D41" s="175"/>
      <c r="E41" s="180" t="s">
        <v>673</v>
      </c>
    </row>
    <row r="42" spans="1:5" ht="45.75" customHeight="1">
      <c r="A42" s="173" t="s">
        <v>487</v>
      </c>
      <c r="B42" s="174" t="s">
        <v>603</v>
      </c>
      <c r="C42" s="175"/>
      <c r="D42" s="175"/>
      <c r="E42" s="180" t="s">
        <v>583</v>
      </c>
    </row>
    <row r="43" spans="1:5" ht="45.75" customHeight="1">
      <c r="A43" s="173" t="s">
        <v>16</v>
      </c>
      <c r="B43" s="174" t="s">
        <v>603</v>
      </c>
      <c r="C43" s="175"/>
      <c r="D43" s="175"/>
      <c r="E43" s="180" t="s">
        <v>509</v>
      </c>
    </row>
    <row r="44" spans="1:5" ht="45.75" customHeight="1">
      <c r="A44" s="173" t="s">
        <v>318</v>
      </c>
      <c r="B44" s="174" t="s">
        <v>42</v>
      </c>
      <c r="C44" s="175"/>
      <c r="D44" s="175"/>
      <c r="E44" s="180" t="s">
        <v>219</v>
      </c>
    </row>
    <row r="45" spans="1:5" ht="22.5" customHeight="1">
      <c r="A45" s="173" t="s">
        <v>128</v>
      </c>
      <c r="B45" s="174" t="s">
        <v>532</v>
      </c>
      <c r="C45" s="175"/>
      <c r="D45" s="175"/>
      <c r="E45" s="180" t="s">
        <v>249</v>
      </c>
    </row>
    <row r="46" spans="1:5" ht="45.75" customHeight="1">
      <c r="A46" s="173" t="s">
        <v>272</v>
      </c>
      <c r="B46" s="174" t="s">
        <v>117</v>
      </c>
      <c r="C46" s="175"/>
      <c r="D46" s="175"/>
      <c r="E46" s="180" t="s">
        <v>490</v>
      </c>
    </row>
    <row r="47" spans="1:5" ht="12.75" customHeight="1">
      <c r="A47" s="173" t="s">
        <v>34</v>
      </c>
      <c r="B47" s="174" t="s">
        <v>469</v>
      </c>
      <c r="C47" s="175"/>
      <c r="D47" s="175"/>
      <c r="E47" s="180" t="s">
        <v>533</v>
      </c>
    </row>
    <row r="48" spans="1:5" ht="33.75" customHeight="1">
      <c r="A48" s="173" t="s">
        <v>626</v>
      </c>
      <c r="B48" s="174" t="s">
        <v>685</v>
      </c>
      <c r="C48" s="175"/>
      <c r="D48" s="175"/>
      <c r="E48" s="180" t="s">
        <v>51</v>
      </c>
    </row>
    <row r="49" spans="1:5" ht="102" customHeight="1">
      <c r="A49" s="173" t="s">
        <v>113</v>
      </c>
      <c r="B49" s="174" t="s">
        <v>93</v>
      </c>
      <c r="C49" s="175"/>
      <c r="D49" s="175"/>
      <c r="E49" s="180" t="s">
        <v>466</v>
      </c>
    </row>
    <row r="50" spans="1:5" ht="22.5" customHeight="1">
      <c r="A50" s="173" t="s">
        <v>402</v>
      </c>
      <c r="B50" s="174" t="s">
        <v>637</v>
      </c>
      <c r="C50" s="175"/>
      <c r="D50" s="175"/>
      <c r="E50" s="180" t="s">
        <v>464</v>
      </c>
    </row>
    <row r="51" spans="1:5" ht="22.5" customHeight="1">
      <c r="A51" s="173" t="s">
        <v>597</v>
      </c>
      <c r="B51" s="174" t="s">
        <v>56</v>
      </c>
      <c r="C51" s="175"/>
      <c r="D51" s="175"/>
      <c r="E51" s="180" t="s">
        <v>353</v>
      </c>
    </row>
    <row r="52" spans="1:5" ht="45.75" customHeight="1">
      <c r="A52" s="173" t="s">
        <v>103</v>
      </c>
      <c r="B52" s="174" t="s">
        <v>101</v>
      </c>
      <c r="C52" s="175"/>
      <c r="D52" s="175"/>
      <c r="E52" s="180" t="s">
        <v>473</v>
      </c>
    </row>
    <row r="53" spans="1:5" ht="33.75" customHeight="1">
      <c r="A53" s="173" t="s">
        <v>121</v>
      </c>
      <c r="B53" s="174" t="s">
        <v>508</v>
      </c>
      <c r="C53" s="175"/>
      <c r="D53" s="175"/>
      <c r="E53" s="180" t="s">
        <v>537</v>
      </c>
    </row>
    <row r="54" spans="1:5" ht="12.75" customHeight="1">
      <c r="A54" s="173" t="s">
        <v>227</v>
      </c>
      <c r="B54" s="174" t="s">
        <v>576</v>
      </c>
      <c r="C54" s="175"/>
      <c r="D54" s="175"/>
      <c r="E54" s="180"/>
    </row>
    <row r="55" spans="1:5" ht="12.75" customHeight="1">
      <c r="A55" s="173" t="s">
        <v>206</v>
      </c>
      <c r="B55" s="174" t="s">
        <v>206</v>
      </c>
      <c r="C55" s="175"/>
      <c r="D55" s="175"/>
      <c r="E55" s="180"/>
    </row>
    <row r="56" spans="1:5" ht="22.5" customHeight="1">
      <c r="A56" s="173" t="s">
        <v>689</v>
      </c>
      <c r="B56" s="174" t="s">
        <v>145</v>
      </c>
      <c r="C56" s="175"/>
      <c r="D56" s="175"/>
      <c r="E56" s="180" t="s">
        <v>493</v>
      </c>
    </row>
    <row r="57" spans="1:5" ht="12.75" customHeight="1">
      <c r="A57" s="173" t="s">
        <v>148</v>
      </c>
      <c r="B57" s="174" t="s">
        <v>334</v>
      </c>
      <c r="C57" s="175"/>
      <c r="D57" s="175"/>
      <c r="E57" s="180" t="s">
        <v>254</v>
      </c>
    </row>
    <row r="58" spans="1:5" ht="159" customHeight="1">
      <c r="A58" s="173" t="s">
        <v>207</v>
      </c>
      <c r="B58" s="174" t="s">
        <v>326</v>
      </c>
      <c r="C58" s="175"/>
      <c r="D58" s="175"/>
      <c r="E58" s="180" t="s">
        <v>10</v>
      </c>
    </row>
    <row r="59" spans="1:5" ht="33.75" customHeight="1">
      <c r="A59" s="173" t="s">
        <v>434</v>
      </c>
      <c r="B59" s="174" t="s">
        <v>197</v>
      </c>
      <c r="C59" s="175"/>
      <c r="D59" s="175"/>
      <c r="E59" s="180" t="s">
        <v>651</v>
      </c>
    </row>
    <row r="60" spans="1:5" ht="33.75" customHeight="1">
      <c r="A60" s="173" t="s">
        <v>75</v>
      </c>
      <c r="B60" s="174" t="s">
        <v>618</v>
      </c>
      <c r="C60" s="175"/>
      <c r="D60" s="175"/>
      <c r="E60" s="180" t="s">
        <v>452</v>
      </c>
    </row>
    <row r="62" spans="1:5" ht="12.75" customHeight="1">
      <c r="A62" s="172" t="s">
        <v>217</v>
      </c>
      <c r="B62" s="172" t="s">
        <v>79</v>
      </c>
      <c r="C62" s="172" t="s">
        <v>448</v>
      </c>
      <c r="D62" s="172" t="s">
        <v>159</v>
      </c>
      <c r="E62" s="179" t="s">
        <v>620</v>
      </c>
    </row>
    <row r="63" spans="1:5" ht="125.25" customHeight="1">
      <c r="A63" s="173" t="s">
        <v>582</v>
      </c>
      <c r="B63" s="176" t="s">
        <v>70</v>
      </c>
      <c r="C63" s="176" t="s">
        <v>545</v>
      </c>
      <c r="D63" s="176" t="s">
        <v>582</v>
      </c>
      <c r="E63" s="180" t="s">
        <v>223</v>
      </c>
    </row>
    <row r="64" spans="1:5" ht="12.75" customHeight="1">
      <c r="A64" s="173" t="s">
        <v>662</v>
      </c>
      <c r="B64" s="177" t="s">
        <v>444</v>
      </c>
      <c r="D64" s="177" t="s">
        <v>582</v>
      </c>
    </row>
    <row r="65" spans="1:5" ht="12.75" customHeight="1">
      <c r="A65" s="173" t="s">
        <v>408</v>
      </c>
      <c r="B65" s="177" t="s">
        <v>170</v>
      </c>
    </row>
    <row r="66" spans="1:5" ht="12.75" customHeight="1">
      <c r="A66" s="173" t="s">
        <v>162</v>
      </c>
      <c r="B66" s="177" t="s">
        <v>339</v>
      </c>
    </row>
    <row r="67" spans="1:5" ht="12.75" customHeight="1">
      <c r="A67" s="173" t="s">
        <v>671</v>
      </c>
      <c r="B67" s="177" t="s">
        <v>19</v>
      </c>
    </row>
    <row r="68" spans="1:5" ht="12.75" customHeight="1">
      <c r="A68" s="173" t="s">
        <v>426</v>
      </c>
      <c r="B68" s="177" t="s">
        <v>433</v>
      </c>
    </row>
    <row r="70" spans="1:5" ht="102" customHeight="1">
      <c r="A70" s="173" t="s">
        <v>72</v>
      </c>
      <c r="B70" s="176" t="s">
        <v>72</v>
      </c>
      <c r="C70" s="176" t="s">
        <v>545</v>
      </c>
      <c r="D70" s="176" t="s">
        <v>175</v>
      </c>
      <c r="E70" s="180" t="s">
        <v>477</v>
      </c>
    </row>
    <row r="71" spans="1:5" ht="12.75" customHeight="1">
      <c r="A71" s="173" t="s">
        <v>389</v>
      </c>
      <c r="B71" s="177" t="s">
        <v>401</v>
      </c>
      <c r="D71" s="177" t="s">
        <v>175</v>
      </c>
    </row>
    <row r="72" spans="1:5" ht="12.75" customHeight="1">
      <c r="A72" s="173" t="s">
        <v>65</v>
      </c>
      <c r="B72" s="177" t="s">
        <v>382</v>
      </c>
    </row>
    <row r="73" spans="1:5" ht="12.75" customHeight="1">
      <c r="A73" s="173" t="s">
        <v>25</v>
      </c>
      <c r="B73" s="177" t="s">
        <v>54</v>
      </c>
    </row>
    <row r="74" spans="1:5" ht="12.75" customHeight="1">
      <c r="A74" s="173" t="s">
        <v>661</v>
      </c>
      <c r="B74" s="177" t="s">
        <v>350</v>
      </c>
    </row>
    <row r="75" spans="1:5" ht="12.75" customHeight="1">
      <c r="A75" s="173" t="s">
        <v>485</v>
      </c>
      <c r="B75" s="177" t="s">
        <v>85</v>
      </c>
    </row>
    <row r="77" spans="1:5" ht="12.75" customHeight="1">
      <c r="A77" s="173" t="s">
        <v>420</v>
      </c>
      <c r="B77" s="176" t="s">
        <v>420</v>
      </c>
      <c r="C77" s="176" t="s">
        <v>545</v>
      </c>
      <c r="D77" s="176" t="s">
        <v>420</v>
      </c>
      <c r="E77" s="180" t="s">
        <v>421</v>
      </c>
    </row>
    <row r="78" spans="1:5" ht="12.75" customHeight="1">
      <c r="A78" s="173" t="s">
        <v>173</v>
      </c>
      <c r="B78" s="177" t="s">
        <v>280</v>
      </c>
      <c r="D78" s="177" t="s">
        <v>420</v>
      </c>
    </row>
    <row r="79" spans="1:5" ht="12.75" customHeight="1">
      <c r="A79" s="173" t="s">
        <v>672</v>
      </c>
      <c r="B79" s="177" t="s">
        <v>628</v>
      </c>
    </row>
    <row r="80" spans="1:5" ht="12.75" customHeight="1">
      <c r="A80" s="173" t="s">
        <v>282</v>
      </c>
      <c r="B80" s="177" t="s">
        <v>185</v>
      </c>
    </row>
    <row r="82" spans="1:5" ht="147.75" customHeight="1">
      <c r="A82" s="173" t="s">
        <v>384</v>
      </c>
      <c r="B82" s="176" t="s">
        <v>384</v>
      </c>
      <c r="C82" s="176" t="s">
        <v>545</v>
      </c>
      <c r="D82" s="176" t="s">
        <v>414</v>
      </c>
      <c r="E82" s="180" t="s">
        <v>455</v>
      </c>
    </row>
    <row r="83" spans="1:5" ht="12.75" customHeight="1">
      <c r="A83" s="173" t="s">
        <v>657</v>
      </c>
      <c r="B83" s="177" t="s">
        <v>156</v>
      </c>
      <c r="C83" s="177" t="s">
        <v>274</v>
      </c>
      <c r="D83" s="177" t="s">
        <v>414</v>
      </c>
    </row>
    <row r="84" spans="1:5" ht="12.75" customHeight="1">
      <c r="A84" s="173" t="s">
        <v>438</v>
      </c>
      <c r="B84" s="178" t="s">
        <v>319</v>
      </c>
      <c r="D84" s="178" t="s">
        <v>288</v>
      </c>
    </row>
    <row r="85" spans="1:5" ht="12.75" customHeight="1">
      <c r="A85" s="173" t="s">
        <v>38</v>
      </c>
      <c r="B85" s="178" t="s">
        <v>634</v>
      </c>
    </row>
    <row r="86" spans="1:5" ht="12.75" customHeight="1">
      <c r="A86" s="173" t="s">
        <v>416</v>
      </c>
      <c r="B86" s="177" t="s">
        <v>97</v>
      </c>
      <c r="C86" s="177" t="s">
        <v>274</v>
      </c>
    </row>
    <row r="87" spans="1:5" ht="12.75" customHeight="1">
      <c r="A87" s="173" t="s">
        <v>38</v>
      </c>
      <c r="B87" s="178" t="s">
        <v>634</v>
      </c>
    </row>
    <row r="88" spans="1:5" ht="12.75" customHeight="1">
      <c r="A88" s="173" t="s">
        <v>237</v>
      </c>
      <c r="B88" s="177" t="s">
        <v>218</v>
      </c>
    </row>
    <row r="89" spans="1:5" ht="12.75" customHeight="1">
      <c r="A89" s="173" t="s">
        <v>467</v>
      </c>
      <c r="B89" s="177" t="s">
        <v>134</v>
      </c>
    </row>
    <row r="90" spans="1:5" ht="12.75" customHeight="1">
      <c r="A90" s="173" t="s">
        <v>391</v>
      </c>
      <c r="B90" s="177" t="s">
        <v>213</v>
      </c>
      <c r="C90" s="177" t="s">
        <v>274</v>
      </c>
    </row>
    <row r="91" spans="1:5" ht="12.75" customHeight="1">
      <c r="A91" s="173" t="s">
        <v>438</v>
      </c>
      <c r="B91" s="178" t="s">
        <v>319</v>
      </c>
    </row>
    <row r="92" spans="1:5" ht="12.75" customHeight="1">
      <c r="A92" s="173" t="s">
        <v>38</v>
      </c>
      <c r="B92" s="178" t="s">
        <v>634</v>
      </c>
    </row>
  </sheetData>
  <mergeCells count="3">
    <mergeCell ref="A1:D1"/>
    <mergeCell ref="A2:D2"/>
    <mergeCell ref="A3:D3"/>
  </mergeCells>
  <pageMargins left="0.75" right="0.75" top="1" bottom="1" header="0.5" footer="0.5"/>
  <pageSetup paperSize="9" orientation="landscape" horizontalDpi="0" verticalDpi="0" copies="0"/>
  <headerFooter alignWithMargins="0"/>
</worksheet>
</file>

<file path=xl/worksheets/sheet14.xml><?xml version="1.0" encoding="utf-8"?>
<worksheet xmlns="http://schemas.openxmlformats.org/spreadsheetml/2006/main" xmlns:r="http://schemas.openxmlformats.org/officeDocument/2006/relationships">
  <sheetPr>
    <outlinePr summaryBelow="0" summaryRight="0"/>
  </sheetPr>
  <dimension ref="A1:E23"/>
  <sheetViews>
    <sheetView workbookViewId="0"/>
  </sheetViews>
  <sheetFormatPr defaultRowHeight="12.75" customHeight="1"/>
  <sheetData>
    <row r="1" spans="1:5" ht="12.75" customHeight="1">
      <c r="A1" s="214" t="str">
        <f>"Capitalization Table"</f>
        <v>Capitalization Table</v>
      </c>
      <c r="B1" s="214"/>
      <c r="C1" s="214"/>
      <c r="D1" s="214"/>
    </row>
    <row r="2" spans="1:5" ht="12.75" customHeight="1">
      <c r="A2" s="214" t="str">
        <f>Inputs!B8</f>
        <v>ABC Corp.</v>
      </c>
      <c r="B2" s="214"/>
      <c r="C2" s="214"/>
      <c r="D2" s="214"/>
    </row>
    <row r="3" spans="1:5" ht="12.75" customHeight="1">
      <c r="A3" s="214" t="str">
        <f>IF("ZZZ__FnCalls"="(Default Input)","Ignore this sheet in normal use.","Investment Scenario "&amp;1&amp;", Valuation Scenario "&amp;1)</f>
        <v>Investment Scenario 1, Valuation Scenario 1</v>
      </c>
      <c r="B3" s="214"/>
      <c r="C3" s="214"/>
      <c r="D3" s="214"/>
    </row>
    <row r="13" spans="1:5" ht="12.75" customHeight="1">
      <c r="A13" s="1">
        <f>'(Other Computations)'!B21</f>
        <v>0</v>
      </c>
      <c r="B13" s="1">
        <f>'(Other Computations)'!B24</f>
        <v>0</v>
      </c>
      <c r="C13" s="1">
        <f>'(Other Computations)'!B25</f>
        <v>1</v>
      </c>
      <c r="D13" s="1">
        <f>'(Other Computations)'!B26</f>
        <v>1</v>
      </c>
      <c r="E13" s="1">
        <f>'(Other Computations)'!B30</f>
        <v>0</v>
      </c>
    </row>
    <row r="14" spans="1:5" ht="12.75" customHeight="1">
      <c r="A14" s="1">
        <f>'(Other Computations)'!B114</f>
        <v>0</v>
      </c>
      <c r="B14" s="1">
        <f>'(Other Computations)'!B117</f>
        <v>0</v>
      </c>
      <c r="C14" s="1">
        <f>'(Other Computations)'!B118</f>
        <v>0</v>
      </c>
      <c r="D14" s="1">
        <f>'(Other Computations)'!B119</f>
        <v>0</v>
      </c>
      <c r="E14" s="1">
        <f>'(Other Computations)'!B123</f>
        <v>0</v>
      </c>
    </row>
    <row r="15" spans="1:5" ht="12.75" customHeight="1">
      <c r="A15">
        <f>SUMPRODUCT(A13:E13,A14:E14)</f>
        <v>0</v>
      </c>
    </row>
    <row r="17" spans="1:5" ht="12.75" customHeight="1">
      <c r="A17" s="1">
        <f>'(Other Computations)'!C21</f>
        <v>0</v>
      </c>
      <c r="B17" s="1">
        <f>'(Other Computations)'!C24</f>
        <v>0</v>
      </c>
      <c r="C17" s="1">
        <f>'(Other Computations)'!C25</f>
        <v>26.4</v>
      </c>
      <c r="D17" s="1">
        <f>'(Other Computations)'!C26</f>
        <v>26.4</v>
      </c>
      <c r="E17" s="1">
        <f>'(Other Computations)'!C30</f>
        <v>0</v>
      </c>
    </row>
    <row r="18" spans="1:5" ht="12.75" customHeight="1">
      <c r="A18" s="1">
        <f>'(Other Computations)'!C114</f>
        <v>0</v>
      </c>
      <c r="B18" s="1">
        <f>'(Other Computations)'!C117</f>
        <v>0</v>
      </c>
      <c r="C18" s="1">
        <f>'(Other Computations)'!C118</f>
        <v>0</v>
      </c>
      <c r="D18" s="1">
        <f>'(Other Computations)'!C119</f>
        <v>0</v>
      </c>
      <c r="E18" s="1">
        <f>'(Other Computations)'!C123</f>
        <v>0</v>
      </c>
    </row>
    <row r="19" spans="1:5" ht="12.75" customHeight="1">
      <c r="A19">
        <f>SUMPRODUCT(A17:E17,A18:E18)</f>
        <v>0</v>
      </c>
    </row>
    <row r="21" spans="1:5" ht="12.75" customHeight="1">
      <c r="A21" s="1">
        <f>'(Other Computations)'!D21</f>
        <v>0</v>
      </c>
      <c r="B21" s="1">
        <f>'(Other Computations)'!D24</f>
        <v>0</v>
      </c>
      <c r="C21" s="1">
        <f>'(Other Computations)'!D25</f>
        <v>72.2</v>
      </c>
      <c r="D21" s="1">
        <f>'(Other Computations)'!D26</f>
        <v>72.2</v>
      </c>
      <c r="E21" s="1">
        <f>'(Other Computations)'!D30</f>
        <v>0</v>
      </c>
    </row>
    <row r="22" spans="1:5" ht="12.75" customHeight="1">
      <c r="A22" s="1">
        <f>'(Other Computations)'!D114</f>
        <v>0</v>
      </c>
      <c r="B22" s="1">
        <f>'(Other Computations)'!D117</f>
        <v>0</v>
      </c>
      <c r="C22" s="1">
        <f>'(Other Computations)'!D118</f>
        <v>0</v>
      </c>
      <c r="D22" s="1">
        <f>'(Other Computations)'!D119</f>
        <v>0</v>
      </c>
      <c r="E22" s="1">
        <f>'(Other Computations)'!D123</f>
        <v>0</v>
      </c>
    </row>
    <row r="23" spans="1:5" ht="12.75" customHeight="1">
      <c r="A23">
        <f>SUMPRODUCT(A21:E21,A22:E22)</f>
        <v>0</v>
      </c>
    </row>
  </sheetData>
  <mergeCells count="3">
    <mergeCell ref="A1:D1"/>
    <mergeCell ref="A2:D2"/>
    <mergeCell ref="A3:D3"/>
  </mergeCells>
  <pageMargins left="0.75" right="0.75" top="1" bottom="1" header="0.5" footer="0.5"/>
  <pageSetup paperSize="9" orientation="landscape" horizontalDpi="0" verticalDpi="0" copies="0"/>
  <headerFooter alignWithMargins="0"/>
</worksheet>
</file>

<file path=xl/worksheets/sheet15.xml><?xml version="1.0" encoding="utf-8"?>
<worksheet xmlns="http://schemas.openxmlformats.org/spreadsheetml/2006/main" xmlns:r="http://schemas.openxmlformats.org/officeDocument/2006/relationships">
  <dimension ref="A3"/>
  <sheetViews>
    <sheetView workbookViewId="0"/>
  </sheetViews>
  <sheetFormatPr defaultRowHeight="12.75" customHeight="1"/>
  <sheetData>
    <row r="3" spans="1:1" ht="12.75" customHeight="1">
      <c r="A3" t="s">
        <v>180</v>
      </c>
    </row>
  </sheetData>
  <pageMargins left="0.75" right="0.75" top="1" bottom="1" header="0.5" footer="0.5"/>
  <pageSetup paperSize="9" orientation="portrait" horizontalDpi="0" verticalDpi="0" copies="0"/>
  <headerFooter alignWithMargins="0"/>
</worksheet>
</file>

<file path=xl/worksheets/sheet16.xml><?xml version="1.0" encoding="utf-8"?>
<worksheet xmlns="http://schemas.openxmlformats.org/spreadsheetml/2006/main" xmlns:r="http://schemas.openxmlformats.org/officeDocument/2006/relationships">
  <dimension ref="A1:BL12"/>
  <sheetViews>
    <sheetView workbookViewId="0"/>
  </sheetViews>
  <sheetFormatPr defaultRowHeight="12.75" customHeight="1"/>
  <sheetData>
    <row r="1" spans="1:64" ht="12.75" customHeight="1">
      <c r="A1" t="s">
        <v>453</v>
      </c>
      <c r="B1" t="str">
        <f>Labels!B52</f>
        <v>Share Price</v>
      </c>
      <c r="C1" t="s">
        <v>590</v>
      </c>
      <c r="D1" t="str">
        <f>Labels!E52</f>
        <v xml:space="preserve">The price of each type of security at the start of each investment round. Prices for sale of new securities in general differ from prices for conversion or exercise of securities in transactions at a later phase. These prices for unexercised options do not account for effects of stock volatility etc. in option pricing models. </v>
      </c>
      <c r="E1" t="s">
        <v>584</v>
      </c>
      <c r="F1" t="str">
        <f>Labels!B33</f>
        <v>Liq Multiple</v>
      </c>
      <c r="G1" t="s">
        <v>456</v>
      </c>
      <c r="H1" t="str">
        <f>Labels!E33</f>
        <v>The multiple of new investment that is added to liquidation preference for each class of security, in each investment round</v>
      </c>
      <c r="I1" t="s">
        <v>234</v>
      </c>
      <c r="J1" t="str">
        <f>Labels!B19</f>
        <v>Event Date</v>
      </c>
      <c r="K1" t="s">
        <v>112</v>
      </c>
      <c r="L1" t="str">
        <f>Labels!E19</f>
        <v>Date of each investment round, determined by investment scenario selected</v>
      </c>
      <c r="M1" t="s">
        <v>18</v>
      </c>
      <c r="N1" t="str">
        <f>Labels!B22</f>
        <v>Firm Value Start</v>
      </c>
      <c r="O1" t="s">
        <v>297</v>
      </c>
      <c r="P1" t="str">
        <f>Labels!E22</f>
        <v>Valuation of the firm at the start of each investment round</v>
      </c>
      <c r="Q1" t="s">
        <v>398</v>
      </c>
      <c r="R1" t="str">
        <f>Labels!B18</f>
        <v>Dividend % (Yr)</v>
      </c>
      <c r="S1" t="s">
        <v>36</v>
      </c>
      <c r="T1" t="str">
        <f>Labels!E18</f>
        <v>Dividend rate for preferred stock, and interest rate paid on convertible notes before conversion</v>
      </c>
      <c r="U1" t="s">
        <v>549</v>
      </c>
      <c r="V1" t="str">
        <f>Labels!B57</f>
        <v>Split Factor</v>
      </c>
      <c r="W1" t="s">
        <v>84</v>
      </c>
      <c r="X1" t="str">
        <f>Labels!E57</f>
        <v>Factor by which common shares are split before the start of each investment round</v>
      </c>
      <c r="Y1" t="s">
        <v>679</v>
      </c>
      <c r="Z1" t="str">
        <f>Labels!B21</f>
        <v>Firm Value</v>
      </c>
      <c r="AA1" t="s">
        <v>279</v>
      </c>
      <c r="AB1" t="str">
        <f>Labels!E21</f>
        <v>Firm value at phases Start, Post Sales, and End; and change in firm value at phases New Sales and Convert, for each investment round. A new investment (including paying the exercise price to exercise a warrant or option) increases the value of the firm by the amount of the new investment.</v>
      </c>
      <c r="AC1" t="s">
        <v>127</v>
      </c>
      <c r="AD1" t="str">
        <f>Labels!B47</f>
        <v>Initial Common Price</v>
      </c>
      <c r="AE1" t="s">
        <v>648</v>
      </c>
      <c r="AF1" t="str">
        <f>Labels!E47</f>
        <v>Initial common share price at the start of the seed round</v>
      </c>
      <c r="AG1" t="s">
        <v>37</v>
      </c>
      <c r="AH1" t="str">
        <f>Labels!B15</f>
        <v>Dividend</v>
      </c>
      <c r="AI1" t="s">
        <v>45</v>
      </c>
      <c r="AJ1" t="str">
        <f>Labels!E15</f>
        <v>Dividend in kind for convertible notes (before conversion), preferred stock (before conversion), and common stock, paid at start of each investment round</v>
      </c>
      <c r="AK1" t="s">
        <v>183</v>
      </c>
      <c r="AL1" t="str">
        <f>Labels!B53</f>
        <v>Return Multiple</v>
      </c>
      <c r="AM1" t="s">
        <v>178</v>
      </c>
      <c r="AN1" t="str">
        <f>Labels!E53</f>
        <v>The multiple of investment (ex-dividends) that each type of security gets. This is a straight multiple with no discounting for the time value of money. The value of founders' noncash contributions are included as investments in this computation.</v>
      </c>
      <c r="AO1" t="s">
        <v>614</v>
      </c>
      <c r="AP1" t="str">
        <f>Labels!B26</f>
        <v>Investment by Origin</v>
      </c>
      <c r="AQ1" t="s">
        <v>1</v>
      </c>
      <c r="AR1" t="str">
        <f>Labels!E26</f>
        <v>Gross investment, segmented by type and series of security, investment round, and phase. Converted notes and preferred shares and exercised warrants and options remain in their respective security types and series. 
The phase are:
* Start = investment in securities at the beginning of the round
* New Sales = new investment in securities in the round
* Post Sales = gross investment in securities after sale of new securities
* Convert = added investment in exercise $ amounts for exercised warrants and options
* End = investments at the end of the round (which still include amounts converted).</v>
      </c>
      <c r="AS1" t="s">
        <v>204</v>
      </c>
      <c r="AT1" t="str">
        <f>Labels!B10</f>
        <v>Convert Trigger Invest</v>
      </c>
      <c r="AU1" t="s">
        <v>52</v>
      </c>
      <c r="AV1" t="str">
        <f>Labels!E10</f>
        <v>Minimum amount of equity capital that the company must raise before securities can be converted or exercised to obtain common stock. An amount greater than the capitalization of the company indicates that the security cannot be converted (or exercised).</v>
      </c>
      <c r="AW1" t="s">
        <v>435</v>
      </c>
      <c r="AX1" t="str">
        <f>Labels!B13</f>
        <v>Note Conversion Discount %</v>
      </c>
      <c r="AY1" t="s">
        <v>335</v>
      </c>
      <c r="AZ1" t="str">
        <f>Labels!E13</f>
        <v>The discount percent on prevailing common share price that accrue to holders of each series of convertible security at the time of conversion or exercise. This discount is a reward for investing early when the risk was presumed higher.</v>
      </c>
      <c r="BA1" t="s">
        <v>264</v>
      </c>
      <c r="BB1" t="str">
        <f>Labels!B9</f>
        <v>Conversion Trigger Date</v>
      </c>
      <c r="BC1" t="s">
        <v>299</v>
      </c>
      <c r="BD1" t="str">
        <f>Labels!E9</f>
        <v>Date at which securities can first be converted or exercised to obtain common stock. A date beyond the end of model time indicates that there is no trigger date for conversion of the security.</v>
      </c>
      <c r="BE1" t="s">
        <v>579</v>
      </c>
      <c r="BF1" t="str">
        <f>Labels!B46</f>
        <v>Payout Pool</v>
      </c>
      <c r="BG1" t="s">
        <v>110</v>
      </c>
      <c r="BH1" t="str">
        <f>Labels!E46</f>
        <v>The amount of funds available for payout to each type of security at phase End (after conversion of notes and exercise of warrants and options), in each investment round. The common payout pool covers common shares, including exercised warrants and options.</v>
      </c>
      <c r="BI1" t="s">
        <v>613</v>
      </c>
      <c r="BJ1" t="str">
        <f>Labels!B44</f>
        <v>Payout</v>
      </c>
      <c r="BK1" t="s">
        <v>167</v>
      </c>
      <c r="BL1" t="str">
        <f>Labels!E44</f>
        <v>The amount of funds that would be paid to each type of security if liquidation occurs at the end of an investment round. Warrants and options are exercised if they are in the money. The common payout pool covers common shares, including exercised warrants and options.</v>
      </c>
    </row>
    <row r="2" spans="1:64" ht="12.75" customHeight="1">
      <c r="A2" t="s">
        <v>29</v>
      </c>
      <c r="B2" t="str">
        <f>Labels!B45</f>
        <v>Payout %</v>
      </c>
      <c r="C2" t="s">
        <v>550</v>
      </c>
      <c r="D2" t="str">
        <f>Labels!E45</f>
        <v>The percentage of the entire payout that is paid to each type of security in the final (exit) round</v>
      </c>
      <c r="E2" t="s">
        <v>604</v>
      </c>
      <c r="F2" t="str">
        <f>Labels!B12</f>
        <v>% Converting</v>
      </c>
      <c r="G2" t="s">
        <v>501</v>
      </c>
      <c r="H2" t="str">
        <f>Labels!E12</f>
        <v>Percent of outstanding convertible notes and preferred stock converting; and percent of outstanding warrants and options exercising in each investment round.
The model starts with default decisions for what securities to exercise or convert and when. These default decisions are computed in the variable 'Conversion Decisions Default'.
You can override the default conversion decisions by entering new values.</v>
      </c>
      <c r="I2" t="s">
        <v>483</v>
      </c>
      <c r="J2" t="str">
        <f>Labels!B49</f>
        <v>Conversion Price</v>
      </c>
      <c r="K2" t="s">
        <v>315</v>
      </c>
      <c r="L2" t="str">
        <f>Labels!E49</f>
        <v>Price at which securities convert to common stock in each investment round. Conversion occurs after sale of new securities in each round. Conversion prices in general differ from prices for sale of new securities in an earlier phase.
* Conversion price of notes is common share price less a discount percent specified by the note.
* Conversion price of preferred shares is common share price plus a specified preferred share price premium.
* Conversion price of common shares is the current common share price after completion of sale of new securities</v>
      </c>
      <c r="M2" t="s">
        <v>601</v>
      </c>
      <c r="N2" t="str">
        <f>Labels!B24</f>
        <v>Invest by Origin ex-Dividend</v>
      </c>
      <c r="O2" t="s">
        <v>644</v>
      </c>
      <c r="P2" t="str">
        <f>Labels!E24</f>
        <v>Gross investment including value of converted securities, and excluding preferred dividends and interest payments on notes, segmented by type of security, by investment round</v>
      </c>
      <c r="Q2" t="s">
        <v>358</v>
      </c>
      <c r="R2" t="str">
        <f>Labels!B58</f>
        <v>Net Units</v>
      </c>
      <c r="S2" t="s">
        <v>667</v>
      </c>
      <c r="T2" t="str">
        <f>Labels!E58</f>
        <v>The number of units of each type of security outstanding or transacted at each phase in each investment round. For convertible notes, share numbers are shown as zero. Warrants and options can be exercised for common shares on one-for-one basis. "Net" means net of conversions and exercises.
The transaction phases within each funding round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Splits occur between rounds, and are included in Start totals.</v>
      </c>
      <c r="U2" t="s">
        <v>518</v>
      </c>
      <c r="V2" t="str">
        <f>Labels!B5</f>
        <v>Company Name</v>
      </c>
      <c r="W2" t="s">
        <v>639</v>
      </c>
      <c r="X2" t="str">
        <f>Labels!E5</f>
        <v>Name of the company</v>
      </c>
      <c r="Y2" t="s">
        <v>424</v>
      </c>
      <c r="Z2" t="str">
        <f>Labels!B34</f>
        <v>Liquidation Preference</v>
      </c>
      <c r="AA2" t="s">
        <v>531</v>
      </c>
      <c r="AB2" t="str">
        <f>Labels!E34</f>
        <v>The amount of liquidiation preference that is due to each class of security (before anything is paid to holders of junior securities, in the event of liquidiation), at the last phase (End) of each round</v>
      </c>
      <c r="AC2" t="s">
        <v>292</v>
      </c>
      <c r="AD2" t="str">
        <f>Labels!B27</f>
        <v>Net Investment</v>
      </c>
      <c r="AE2" t="s">
        <v>463</v>
      </c>
      <c r="AF2" t="str">
        <f>Labels!E27</f>
        <v>Net investment at each phase of each investment round, segmented by type of security. Converted notes and preferred shares and exercised warrants and options are subtracted and added to common stock. Exercise $ amounts for warrants and options are added to Net Investment for common stock.
The phase are:
* Start = outstanding investment in securities at the beginning of the round
* New Sales = new investment in securities in the round
* Post Sales = gross investment in securities after sale of new securities
* Convert = investment value of securities being converted (notes) or exercised (warrants and options)
* End = investments at the end of the round (with converted and exercised securties recorded as common stock)</v>
      </c>
      <c r="AG2" t="s">
        <v>14</v>
      </c>
      <c r="AH2" t="str">
        <f>Labels!B28</f>
        <v>New Investment</v>
      </c>
      <c r="AI2" t="s">
        <v>538</v>
      </c>
      <c r="AJ2" t="str">
        <f>Labels!E28</f>
        <v>New investments due to sale of new convertible notes, preferred and common shares, by investment round. New warrants and options are tracked in variable Shares_New because they are specified by number of new shares, not new investment.</v>
      </c>
      <c r="AK2" t="s">
        <v>102</v>
      </c>
      <c r="AL2" t="str">
        <f>Labels!B59</f>
        <v>New Units Sold</v>
      </c>
      <c r="AM2" t="s">
        <v>571</v>
      </c>
      <c r="AN2" t="str">
        <f>Labels!E59</f>
        <v>Numbers of new warrants and options sold, by investment round. Sales of new convertible notes, preferred stock and common stock are input as new investment, from which new shares are computed.</v>
      </c>
      <c r="AO2" t="s">
        <v>536</v>
      </c>
      <c r="AP2" t="str">
        <f>Labels!B37</f>
        <v>Exercise Amt</v>
      </c>
      <c r="AQ2" t="s">
        <v>104</v>
      </c>
      <c r="AR2" t="str">
        <f>Labels!E37</f>
        <v>The amount of exercise payments due upon exercise of outstanding warrants and options. For Phase Convert, the amount of exercise payments made to exercise warrants and options in each round.</v>
      </c>
      <c r="AS2" t="s">
        <v>58</v>
      </c>
      <c r="AT2" t="str">
        <f>Labels!B38</f>
        <v>Exercise Price</v>
      </c>
      <c r="AU2" t="s">
        <v>39</v>
      </c>
      <c r="AV2" t="str">
        <f>Labels!E38</f>
        <v>Exercise price for each class of stock option. Upon exercise of a warrant or option, the holder pays the exercise price to the company in cash, which amount is added to Investment by Origin for the warrant or option, and added to Net Investment for common stock.</v>
      </c>
      <c r="AW2" t="s">
        <v>81</v>
      </c>
      <c r="AX2" t="str">
        <f>Labels!B50</f>
        <v>Price New Unit</v>
      </c>
      <c r="AY2" t="s">
        <v>105</v>
      </c>
      <c r="AZ2" t="str">
        <f>Labels!E50</f>
        <v>Price at which new warrants and options are purchased. Warrant and option prices are based on current stock price, ignoring the variance of stock price over time.</v>
      </c>
      <c r="BA2" t="s">
        <v>27</v>
      </c>
      <c r="BB2" t="str">
        <f>Labels!B51</f>
        <v>New Unit Price %</v>
      </c>
      <c r="BC2" t="s">
        <v>461</v>
      </c>
      <c r="BD2" t="str">
        <f>Labels!E51</f>
        <v>Ratio (price at which new units are purchased) / (common share price - exercise price).</v>
      </c>
      <c r="BE2" t="s">
        <v>411</v>
      </c>
      <c r="BF2" t="str">
        <f>Labels!B11</f>
        <v>Conversion Trigger Value %</v>
      </c>
      <c r="BG2" t="s">
        <v>678</v>
      </c>
      <c r="BH2" t="str">
        <f>Labels!E11</f>
        <v>Maximum fraction of the value of a firm that can be in senior securities in order that a series of convertible securities converts. (Other conversion criteria involve dates and minimum equity funding raised by the company.)</v>
      </c>
      <c r="BI2" t="s">
        <v>257</v>
      </c>
      <c r="BJ2" t="str">
        <f>Labels!B48</f>
        <v>Price Premium %</v>
      </c>
      <c r="BK2" t="s">
        <v>447</v>
      </c>
      <c r="BL2" t="str">
        <f>Labels!E48</f>
        <v>Price premium for a preferred share unit over common stock at time of purchase. The premium reflects the contingent value of preference payments and preference dividends.</v>
      </c>
    </row>
    <row r="3" spans="1:64" ht="12.75" customHeight="1">
      <c r="A3" t="s">
        <v>82</v>
      </c>
      <c r="B3" t="str">
        <f>Labels!B56</f>
        <v>Common Shares by Origin</v>
      </c>
      <c r="C3" t="s">
        <v>569</v>
      </c>
      <c r="D3" t="str">
        <f>Labels!E56</f>
        <v>Number of common shares that originated from conversion or exercise of each type of security or sale of common shares, recorded at the end of each investment round</v>
      </c>
      <c r="E3" t="s">
        <v>153</v>
      </c>
      <c r="F3" t="str">
        <f>Labels!B40</f>
        <v>Payout by Origin</v>
      </c>
      <c r="G3" t="s">
        <v>17</v>
      </c>
      <c r="H3" t="str">
        <f>Labels!E40</f>
        <v>Funds paid out that are imputed (if paid) to original investments in each type of security, at the end of each investment round. Warrants and options are exercised if they are in the money. The common payout pool covers common shares, including exercised warrants and options.</v>
      </c>
      <c r="I3" t="s">
        <v>674</v>
      </c>
      <c r="J3" t="str">
        <f>Labels!B42</f>
        <v>Payout by Origin %</v>
      </c>
      <c r="K3" t="s">
        <v>636</v>
      </c>
      <c r="L3" t="str">
        <f>Labels!E42</f>
        <v>The percentage of funds paid out that are imputed (if paid) to original investments in each type of security, at the end of each investment round. Warrants and options are exercised if they are in the money. The common payout pool covers common shares, including exercised warrants and options.</v>
      </c>
      <c r="M3" t="s">
        <v>563</v>
      </c>
      <c r="N3" t="str">
        <f>Labels!B39</f>
        <v>Units 'in the Money'</v>
      </c>
      <c r="O3" t="s">
        <v>465</v>
      </c>
      <c r="P3" t="str">
        <f>Labels!E39</f>
        <v>Number of unexercised warrants and options that are in the money in phase End, for each investment round. Used in variable Payout in denominators of formulas.</v>
      </c>
      <c r="Q3" t="s">
        <v>283</v>
      </c>
      <c r="R3" t="str">
        <f>Labels!B17</f>
        <v>Dividend Common</v>
      </c>
      <c r="S3" t="s">
        <v>578</v>
      </c>
      <c r="T3" t="str">
        <f>Labels!E17</f>
        <v>Dividend paid on common stock, paid at the beginning of each investment round</v>
      </c>
      <c r="U3" t="s">
        <v>552</v>
      </c>
      <c r="V3" t="str">
        <f>Labels!B16</f>
        <v>Dividend by Origin</v>
      </c>
      <c r="W3" t="s">
        <v>324</v>
      </c>
      <c r="X3" t="str">
        <f>Labels!E16</f>
        <v>Dividend in kind for convertible notes (before conversion), preferred stock (before conversion), and common stock, paid at start of each investment round. The dividends are segmented by the original type and series of security whose purchase earned the dividend (not by the current type and series of security that earned the dividend).</v>
      </c>
      <c r="Y3" t="s">
        <v>449</v>
      </c>
      <c r="Z3" t="str">
        <f>Labels!B30</f>
        <v>Cash Flow</v>
      </c>
      <c r="AA3" t="s">
        <v>370</v>
      </c>
      <c r="AB3" t="str">
        <f>Labels!E30</f>
        <v>Cash flows used to compute present values and internal rates of return for each series and type of security. Includes founders non-cash contributions in the first round and payouts in the last round.</v>
      </c>
      <c r="AC3" t="s">
        <v>593</v>
      </c>
      <c r="AD3" t="str">
        <f>Labels!B14</f>
        <v>Discount Rate (Yr)</v>
      </c>
      <c r="AE3" t="s">
        <v>655</v>
      </c>
      <c r="AF3" t="str">
        <f>Labels!E14</f>
        <v>Annualized discount rates used in computation of present values of investor cash flows</v>
      </c>
      <c r="AG3" t="s">
        <v>4</v>
      </c>
      <c r="AH3" t="str">
        <f>Labels!B36</f>
        <v>Net Present Value</v>
      </c>
      <c r="AI3" t="s">
        <v>133</v>
      </c>
      <c r="AJ3" t="str">
        <f>Labels!E36</f>
        <v>Net present value of cash flows to each series of each type of security. Each series and type of security can have its own discount rate to reflect different risks.</v>
      </c>
      <c r="AK3" t="s">
        <v>631</v>
      </c>
      <c r="AL3" t="str">
        <f>Labels!B32</f>
        <v>IRR (Yr)</v>
      </c>
      <c r="AM3" t="s">
        <v>544</v>
      </c>
      <c r="AN3" t="str">
        <f>Labels!E32</f>
        <v>Internal rate of return of cash flow to holders of each series and type of security. Includes new investments, exercise payments (for warrants and options) and final payout at the end of the last investment round.</v>
      </c>
      <c r="AO3" t="s">
        <v>193</v>
      </c>
      <c r="AP3" t="str">
        <f>Labels!B31</f>
        <v>IRR Initial Guess (Yr)</v>
      </c>
      <c r="AQ3" t="s">
        <v>250</v>
      </c>
      <c r="AR3" t="str">
        <f>Labels!E31</f>
        <v>Initial guess at internal rate of return of the cash flow for holders of each series and type of security, to start the iterative solution for the IRR</v>
      </c>
      <c r="AS3" t="s">
        <v>573</v>
      </c>
      <c r="AT3" t="str">
        <f>Labels!B20</f>
        <v>Event Date</v>
      </c>
      <c r="AU3" t="s">
        <v>390</v>
      </c>
      <c r="AV3" t="str">
        <f>Labels!E20</f>
        <v>Date of each investment round</v>
      </c>
      <c r="AW3" t="s">
        <v>515</v>
      </c>
      <c r="AX3" t="str">
        <f>Labels!B23</f>
        <v>Firm Value</v>
      </c>
      <c r="AY3" t="s">
        <v>310</v>
      </c>
      <c r="AZ3" t="str">
        <f>Labels!E23</f>
        <v>Valuation of the firm at the start of each investment round</v>
      </c>
      <c r="BA3" t="s">
        <v>92</v>
      </c>
      <c r="BB3" t="str">
        <f>Labels!B29</f>
        <v>New Investment</v>
      </c>
      <c r="BC3" t="s">
        <v>60</v>
      </c>
      <c r="BD3" t="str">
        <f>Labels!E29</f>
        <v>New investments due to sale of new convertible notes, preferred and common shares, by investment round; investment scenario 1. New warrants and options are tracked in variable Shares_New because they are specified by number of new shares, not new investment.</v>
      </c>
      <c r="BE3" t="s">
        <v>114</v>
      </c>
      <c r="BF3" t="str">
        <f>Labels!B60</f>
        <v>New Units</v>
      </c>
      <c r="BG3" t="s">
        <v>303</v>
      </c>
      <c r="BH3" t="str">
        <f>Labels!E60</f>
        <v>Numbers of new warrants and options sold, by investment round, for investment scenario 1. Sales of new convertible notes, preferred stock and common stock are input as new investment, from which new shares are computed.</v>
      </c>
      <c r="BI3" t="s">
        <v>380</v>
      </c>
      <c r="BJ3" t="str">
        <f>Labels!B25</f>
        <v>Invest by Origin ex-Dividend</v>
      </c>
      <c r="BK3" t="s">
        <v>349</v>
      </c>
      <c r="BL3" t="str">
        <f>Labels!E25</f>
        <v>Gross investment including value of converted securities, and excluding preferred dividends and interest payments on notes, segmented by type of security, by investment round</v>
      </c>
    </row>
    <row r="4" spans="1:64" ht="12.75" customHeight="1">
      <c r="A4" t="s">
        <v>541</v>
      </c>
      <c r="B4" t="str">
        <f>Labels!B41</f>
        <v>Payout by Origin</v>
      </c>
      <c r="C4" t="s">
        <v>654</v>
      </c>
      <c r="D4" t="str">
        <f>Labels!E41</f>
        <v>Funds paid out that are imputed (if paid) to original investments in each type of security, at the end of the last investment round. Warrants and options are exercised if they are in the money. The common payout pool covers common shares, including exercised warrants and options.</v>
      </c>
      <c r="E4" t="s">
        <v>87</v>
      </c>
      <c r="F4" t="str">
        <f>Labels!B43</f>
        <v>Payout by Origin %</v>
      </c>
      <c r="G4" t="s">
        <v>235</v>
      </c>
      <c r="H4" t="str">
        <f>Labels!E43</f>
        <v>The percentage of funds paid out that are imputed (if paid) to original investments in each type of security, at the end of the last investment round. Warrants and options are exercised if they are in the money. The common payout pool covers common shares, including exercised warrants and options.</v>
      </c>
      <c r="I4" t="s">
        <v>7</v>
      </c>
      <c r="J4" t="str">
        <f>Labels!B55</f>
        <v>Scenarios_Value_Dim</v>
      </c>
      <c r="K4" t="s">
        <v>43</v>
      </c>
      <c r="L4">
        <f>Labels!E55</f>
        <v>0</v>
      </c>
      <c r="M4" t="s">
        <v>427</v>
      </c>
      <c r="N4" t="str">
        <f>Labels!B54</f>
        <v>Investment Scenarios</v>
      </c>
      <c r="O4" t="s">
        <v>652</v>
      </c>
      <c r="P4">
        <f>Labels!E54</f>
        <v>0</v>
      </c>
      <c r="Q4" t="s">
        <v>405</v>
      </c>
      <c r="R4" t="str">
        <f>Labels!B7</f>
        <v>Conversion Decisions Detail</v>
      </c>
      <c r="S4" t="s">
        <v>645</v>
      </c>
      <c r="T4" t="str">
        <f>Labels!E7</f>
        <v>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The cell values have these meanings:
+1: conversion condition is satisfied
0 : conversion condition is not satisfied
-1: means conversion condition is not relevant
You can override these conversion decisions by entering values in variable 'Converting %'.</v>
      </c>
      <c r="U4" t="s">
        <v>270</v>
      </c>
      <c r="V4" t="str">
        <f>Labels!B6</f>
        <v>Default Conversion Decisions</v>
      </c>
      <c r="W4" t="s">
        <v>231</v>
      </c>
      <c r="X4" t="str">
        <f>Labels!E6</f>
        <v>This variable encodes the default conversion decisions for securities. 
+1 means all conversion conditions are satisfied
0 means some conversion condition is not satisfied
This information determines the default values for conversion percents for each security in each round, found in variable 'Convert %'.
You can get detail on which conversion conditions are or are not satisfied in variable 'Conversion Decisions Detail'.</v>
      </c>
      <c r="Y4" t="s">
        <v>8</v>
      </c>
      <c r="Z4" t="str">
        <f>Labels!B8</f>
        <v>Conversion Liq Premium %</v>
      </c>
      <c r="AA4" t="s">
        <v>497</v>
      </c>
      <c r="AB4" t="str">
        <f>Labels!E8</f>
        <v>Conversion of securities to common stock must produce this value premium over liquidation preference, in order for the default conversion condition to be satisfied. If &lt; 0, then the company has the right to convert the security to common stock when all the conditions are met.</v>
      </c>
      <c r="AC4" t="s">
        <v>474</v>
      </c>
      <c r="AD4" t="str">
        <f>Labels!B35</f>
        <v>Liq Preference New</v>
      </c>
      <c r="AE4" t="s">
        <v>106</v>
      </c>
      <c r="AF4" t="str">
        <f>Labels!E35</f>
        <v>The amount of new liquidiation preference that is due to each class of security (before anything is paid to holders of junior securities, in the event of liquidiation), at the last phase (End) of each round</v>
      </c>
      <c r="AG4" t="s">
        <v>388</v>
      </c>
      <c r="AH4" t="str">
        <f>Labels!E82</f>
        <v>The types of securities and the series within each type.
* A convertible note is a loan that is convertible to common stock subject to certain restrictions of time and circumstances.
* Preferred stock is equity that has preference rights over common stock in payouts from the company, usually accrues a dividend in each time period, may be convertible to common stock under some circumstances, and may have preferential voting rights.
* A warrant is an option that is issued by and guaranteed by the company (whereas options are not so guaranteed)
* An option means a "call option" to buy one share of common stock at a fixed "exercise price" before the end of life of the option.
You can add new types of securities and new rounds in ModelSheet, but not in exported spreadsheets.</v>
      </c>
      <c r="AI4" t="s">
        <v>694</v>
      </c>
      <c r="AJ4" t="str">
        <f>Labels!B82</f>
        <v>Securities</v>
      </c>
      <c r="AK4" t="s">
        <v>41</v>
      </c>
      <c r="AL4" t="str">
        <f>Labels!D82</f>
        <v>Security</v>
      </c>
      <c r="AM4" t="s">
        <v>262</v>
      </c>
      <c r="AN4" t="str">
        <f>Labels!C82</f>
        <v>Total</v>
      </c>
      <c r="AO4" t="s">
        <v>581</v>
      </c>
      <c r="AP4" t="str">
        <f>Labels!B83</f>
        <v>Conv Note</v>
      </c>
      <c r="AQ4" t="s">
        <v>247</v>
      </c>
      <c r="AR4" t="str">
        <f>Labels!D83</f>
        <v>Security</v>
      </c>
      <c r="AS4" t="s">
        <v>122</v>
      </c>
      <c r="AT4" t="str">
        <f>Labels!C83</f>
        <v>Subtotal</v>
      </c>
      <c r="AU4" t="s">
        <v>311</v>
      </c>
      <c r="AV4" t="str">
        <f>Labels!B84</f>
        <v>Series B</v>
      </c>
      <c r="AW4" t="s">
        <v>690</v>
      </c>
      <c r="AX4" t="str">
        <f>Labels!D84</f>
        <v>Security 2</v>
      </c>
      <c r="AY4" t="s">
        <v>132</v>
      </c>
      <c r="AZ4" t="str">
        <f>Labels!B85</f>
        <v>Series A</v>
      </c>
      <c r="BA4" t="s">
        <v>168</v>
      </c>
      <c r="BB4" t="str">
        <f>Labels!B86</f>
        <v>Preferred</v>
      </c>
      <c r="BC4" t="s">
        <v>256</v>
      </c>
      <c r="BD4" t="str">
        <f>Labels!C86</f>
        <v>Subtotal</v>
      </c>
      <c r="BE4" t="s">
        <v>530</v>
      </c>
      <c r="BF4" t="str">
        <f>Labels!B87</f>
        <v>Series A</v>
      </c>
      <c r="BG4" t="s">
        <v>600</v>
      </c>
      <c r="BH4" t="str">
        <f>Labels!B88</f>
        <v>Common</v>
      </c>
      <c r="BI4" t="s">
        <v>40</v>
      </c>
      <c r="BJ4" t="str">
        <f>Labels!B89</f>
        <v>Warrant</v>
      </c>
      <c r="BK4" t="s">
        <v>344</v>
      </c>
      <c r="BL4" t="str">
        <f>Labels!B90</f>
        <v>Option</v>
      </c>
    </row>
    <row r="5" spans="1:64" ht="12.75" customHeight="1">
      <c r="A5" t="s">
        <v>212</v>
      </c>
      <c r="B5" t="str">
        <f>Labels!C90</f>
        <v>Subtotal</v>
      </c>
      <c r="C5" t="s">
        <v>615</v>
      </c>
      <c r="D5" t="str">
        <f>Labels!B91</f>
        <v>Series B</v>
      </c>
      <c r="E5" t="s">
        <v>361</v>
      </c>
      <c r="F5" t="str">
        <f>Labels!B92</f>
        <v>Series A</v>
      </c>
      <c r="G5" t="s">
        <v>643</v>
      </c>
      <c r="H5" t="str">
        <f>Labels!E70</f>
        <v>The transaction phases within each funding round. The phases are: 
* Start = outstanding securities at the beginning of the round
* New Sales = sales of new securities in the round
* Post Sales = outstanding securities after sale of new securities
* Convert = securities being converted (notes) or exercised (warrants and options)
* End = outstanding securities after conversions are executed, which is the end of the round
Dividends are paid and splits occur between rounds, and are included in Start totals.</v>
      </c>
      <c r="I5" t="s">
        <v>595</v>
      </c>
      <c r="J5" t="str">
        <f>Labels!B70</f>
        <v>Phases</v>
      </c>
      <c r="K5" t="s">
        <v>3</v>
      </c>
      <c r="L5" t="str">
        <f>Labels!D70</f>
        <v>Phase</v>
      </c>
      <c r="M5" t="s">
        <v>306</v>
      </c>
      <c r="N5" t="str">
        <f>Labels!C70</f>
        <v>Total</v>
      </c>
      <c r="O5" t="s">
        <v>189</v>
      </c>
      <c r="P5" t="str">
        <f>Labels!B71</f>
        <v>Start</v>
      </c>
      <c r="Q5" t="s">
        <v>130</v>
      </c>
      <c r="R5" t="str">
        <f>Labels!D71</f>
        <v>Phase</v>
      </c>
      <c r="S5" t="s">
        <v>248</v>
      </c>
      <c r="T5" t="str">
        <f>Labels!B72</f>
        <v>New Sales</v>
      </c>
      <c r="U5" t="s">
        <v>442</v>
      </c>
      <c r="V5" t="str">
        <f>Labels!B73</f>
        <v>Post Sales</v>
      </c>
      <c r="W5" t="s">
        <v>294</v>
      </c>
      <c r="X5" t="str">
        <f>Labels!B74</f>
        <v>Convert</v>
      </c>
      <c r="Y5" t="s">
        <v>385</v>
      </c>
      <c r="Z5" t="str">
        <f>Labels!B75</f>
        <v>End</v>
      </c>
      <c r="AA5" t="s">
        <v>559</v>
      </c>
      <c r="AB5" t="str">
        <f>Labels!E77</f>
        <v>A list of the funding rounds</v>
      </c>
      <c r="AC5" t="s">
        <v>115</v>
      </c>
      <c r="AD5" t="str">
        <f>Labels!B77</f>
        <v>Rounds</v>
      </c>
      <c r="AE5" t="s">
        <v>229</v>
      </c>
      <c r="AF5" t="str">
        <f>Labels!D77</f>
        <v>Rounds</v>
      </c>
      <c r="AG5" t="s">
        <v>504</v>
      </c>
      <c r="AH5" t="str">
        <f>Labels!C77</f>
        <v>Total</v>
      </c>
      <c r="AI5" t="s">
        <v>592</v>
      </c>
      <c r="AJ5" t="str">
        <f>Labels!B78</f>
        <v>Seed</v>
      </c>
      <c r="AK5" t="s">
        <v>521</v>
      </c>
      <c r="AL5" t="str">
        <f>Labels!D78</f>
        <v>Rounds</v>
      </c>
      <c r="AM5" t="s">
        <v>190</v>
      </c>
      <c r="AN5" t="str">
        <f>Labels!B79</f>
        <v>Round A</v>
      </c>
      <c r="AO5" t="s">
        <v>99</v>
      </c>
      <c r="AP5" t="str">
        <f>Labels!B80</f>
        <v>Exit</v>
      </c>
      <c r="AQ5" t="s">
        <v>0</v>
      </c>
      <c r="AR5" t="str">
        <f>Labels!E63</f>
        <v xml:space="preserve">The default conversion decision for each security is positive (negative) if all these built-in conditions are satisfied (not satisfied).
1) The date of the current round has reached the trigger date
2) The sum of investments in common, preferred and notes exceeds the trigger investment threshhold
3) For notes and preferred: the value of the company exceeds a safety criterion (investment in notes + preferred must be less than a stated fraction of firm value).
4) For notes and preferred: value of commmon shares obtained &gt; (1+premium) * liquidation preference.
5) For warrants and options: common share price &gt;= exercise price.
</v>
      </c>
      <c r="AS5" t="s">
        <v>470</v>
      </c>
      <c r="AT5" t="str">
        <f>Labels!B63</f>
        <v>Convert Conditions</v>
      </c>
      <c r="AU5" t="s">
        <v>418</v>
      </c>
      <c r="AV5" t="str">
        <f>Labels!D63</f>
        <v>Convert_Conditions</v>
      </c>
      <c r="AW5" t="s">
        <v>392</v>
      </c>
      <c r="AX5" t="str">
        <f>Labels!C63</f>
        <v>Total</v>
      </c>
      <c r="AY5" t="s">
        <v>415</v>
      </c>
      <c r="AZ5" t="str">
        <f>Labels!B64</f>
        <v>Trigger Date</v>
      </c>
      <c r="BA5" t="s">
        <v>345</v>
      </c>
      <c r="BB5" t="str">
        <f>Labels!D64</f>
        <v>Convert_Conditions</v>
      </c>
      <c r="BC5" t="s">
        <v>86</v>
      </c>
      <c r="BD5" t="str">
        <f>Labels!B65</f>
        <v>Trigger Invest</v>
      </c>
      <c r="BE5" t="s">
        <v>526</v>
      </c>
      <c r="BF5" t="str">
        <f>Labels!B66</f>
        <v>Trigger Value %</v>
      </c>
      <c r="BG5" t="s">
        <v>400</v>
      </c>
      <c r="BH5" t="str">
        <f>Labels!B67</f>
        <v>Liquidation</v>
      </c>
      <c r="BI5" t="s">
        <v>242</v>
      </c>
      <c r="BJ5" t="str">
        <f>Labels!B68</f>
        <v>Trigger Price</v>
      </c>
    </row>
    <row r="6" spans="1:64" ht="12.75" customHeight="1">
      <c r="A6" t="s">
        <v>83</v>
      </c>
      <c r="B6" t="str">
        <f>Inputs!A1</f>
        <v>Capitalization Table</v>
      </c>
      <c r="C6" t="s">
        <v>83</v>
      </c>
      <c r="D6" t="str">
        <f>Investment!A1</f>
        <v>Capitalization Table</v>
      </c>
      <c r="E6" t="s">
        <v>83</v>
      </c>
      <c r="F6" t="str">
        <f>Shares!A1</f>
        <v>Capitalization Table</v>
      </c>
      <c r="G6" t="s">
        <v>83</v>
      </c>
      <c r="H6" t="str">
        <f>Conversion!A1</f>
        <v>Capitalization Table</v>
      </c>
      <c r="I6" t="s">
        <v>83</v>
      </c>
      <c r="J6" t="str">
        <f>Prices!A1</f>
        <v>Capitalization Table</v>
      </c>
      <c r="K6" t="s">
        <v>83</v>
      </c>
      <c r="L6" t="str">
        <f>Options!A1</f>
        <v>Capitalization Table</v>
      </c>
      <c r="M6" t="s">
        <v>83</v>
      </c>
      <c r="N6" t="str">
        <f>Valuation!A1</f>
        <v>Capitalization Table</v>
      </c>
      <c r="O6" t="s">
        <v>83</v>
      </c>
      <c r="P6" t="str">
        <f>Payout!A1</f>
        <v>Capitalization Table</v>
      </c>
      <c r="Q6" t="s">
        <v>83</v>
      </c>
      <c r="R6" t="str">
        <f>Formulas!A1</f>
        <v>Capitalization Table</v>
      </c>
      <c r="S6" t="s">
        <v>83</v>
      </c>
      <c r="T6" t="str">
        <f>Boneyard!A1</f>
        <v>Capitalization Table</v>
      </c>
      <c r="U6" t="s">
        <v>83</v>
      </c>
      <c r="V6" t="str">
        <f>'(Other Computations)'!A1</f>
        <v>Capitalization Table</v>
      </c>
      <c r="W6" t="s">
        <v>83</v>
      </c>
      <c r="X6" t="str">
        <f>Labels!A1</f>
        <v>Capitalization Table</v>
      </c>
      <c r="Y6" t="s">
        <v>83</v>
      </c>
      <c r="Z6" t="str">
        <f>ZZZ__FnCalls!A1</f>
        <v>Capitalization Table</v>
      </c>
      <c r="AA6" t="s">
        <v>83</v>
      </c>
      <c r="AB6">
        <f>ZZZ_Ranges!A1</f>
        <v>0</v>
      </c>
      <c r="AC6" t="s">
        <v>83</v>
      </c>
      <c r="AD6" t="str">
        <f>ZZZ_Import!A1</f>
        <v>:A:0:Price_Unit_Start</v>
      </c>
    </row>
    <row r="7" spans="1:64" ht="12.75" customHeight="1">
      <c r="A7" t="s">
        <v>691</v>
      </c>
      <c r="B7" t="str">
        <f>Inputs!B8</f>
        <v>ABC Corp.</v>
      </c>
      <c r="C7" t="s">
        <v>376</v>
      </c>
      <c r="D7">
        <f>Inputs!B14</f>
        <v>40391</v>
      </c>
      <c r="E7" t="s">
        <v>246</v>
      </c>
      <c r="F7">
        <f>Inputs!C14</f>
        <v>40725</v>
      </c>
      <c r="G7" t="s">
        <v>591</v>
      </c>
      <c r="H7">
        <f>Inputs!D14</f>
        <v>41061</v>
      </c>
      <c r="I7" t="s">
        <v>150</v>
      </c>
      <c r="J7">
        <f>Inputs!B22</f>
        <v>1000000</v>
      </c>
      <c r="K7" t="s">
        <v>396</v>
      </c>
      <c r="L7">
        <f>Inputs!B23</f>
        <v>2640000</v>
      </c>
      <c r="M7" t="s">
        <v>557</v>
      </c>
      <c r="N7">
        <f>Inputs!B24</f>
        <v>7220000</v>
      </c>
      <c r="O7" t="s">
        <v>450</v>
      </c>
      <c r="P7">
        <f>Inputs!B32</f>
        <v>0</v>
      </c>
      <c r="Q7" t="s">
        <v>138</v>
      </c>
      <c r="R7">
        <f>Inputs!C32</f>
        <v>0</v>
      </c>
      <c r="S7" t="s">
        <v>286</v>
      </c>
      <c r="T7">
        <f>Inputs!D32</f>
        <v>0</v>
      </c>
      <c r="U7" t="s">
        <v>542</v>
      </c>
      <c r="V7">
        <f>Inputs!B33</f>
        <v>0</v>
      </c>
      <c r="W7" t="s">
        <v>188</v>
      </c>
      <c r="X7">
        <f>Inputs!C33</f>
        <v>0</v>
      </c>
      <c r="Y7" t="s">
        <v>6</v>
      </c>
      <c r="Z7">
        <f>Inputs!D33</f>
        <v>0</v>
      </c>
      <c r="AA7" t="s">
        <v>680</v>
      </c>
      <c r="AB7">
        <f>Inputs!B38</f>
        <v>0.3</v>
      </c>
      <c r="AC7" t="s">
        <v>307</v>
      </c>
      <c r="AD7">
        <f>Inputs!B39</f>
        <v>0.3</v>
      </c>
      <c r="AE7" t="s">
        <v>410</v>
      </c>
      <c r="AF7">
        <f>Inputs!B42</f>
        <v>0.04</v>
      </c>
      <c r="AG7" t="s">
        <v>611</v>
      </c>
      <c r="AH7">
        <f>Inputs!B43</f>
        <v>0.04</v>
      </c>
      <c r="AI7" t="s">
        <v>507</v>
      </c>
      <c r="AJ7">
        <f>Inputs!E38</f>
        <v>1</v>
      </c>
      <c r="AK7" t="s">
        <v>478</v>
      </c>
      <c r="AL7">
        <f>Inputs!E39</f>
        <v>1</v>
      </c>
      <c r="AM7" t="s">
        <v>140</v>
      </c>
      <c r="AN7">
        <f>Inputs!B47</f>
        <v>40634</v>
      </c>
      <c r="AO7" t="s">
        <v>164</v>
      </c>
      <c r="AP7">
        <f>Inputs!B48</f>
        <v>40634</v>
      </c>
      <c r="AQ7" t="s">
        <v>330</v>
      </c>
      <c r="AR7">
        <f>Inputs!B51</f>
        <v>1000000</v>
      </c>
      <c r="AS7" t="s">
        <v>397</v>
      </c>
      <c r="AT7">
        <f>Inputs!B52</f>
        <v>1000000</v>
      </c>
      <c r="AU7" t="s">
        <v>337</v>
      </c>
      <c r="AV7">
        <f>Inputs!E47</f>
        <v>0.5</v>
      </c>
      <c r="AW7" t="s">
        <v>273</v>
      </c>
      <c r="AX7">
        <f>Inputs!E48</f>
        <v>0.5</v>
      </c>
      <c r="AY7" t="s">
        <v>276</v>
      </c>
      <c r="AZ7">
        <f>Inputs!E51</f>
        <v>0.2</v>
      </c>
      <c r="BA7" t="s">
        <v>322</v>
      </c>
      <c r="BB7">
        <f>Inputs!E52</f>
        <v>0.2</v>
      </c>
      <c r="BC7" t="s">
        <v>53</v>
      </c>
      <c r="BD7">
        <f>Inputs!B56</f>
        <v>0.3</v>
      </c>
      <c r="BE7" t="s">
        <v>192</v>
      </c>
      <c r="BF7">
        <f>Inputs!B57</f>
        <v>0.3</v>
      </c>
      <c r="BG7" t="s">
        <v>21</v>
      </c>
      <c r="BH7">
        <f>Inputs!E56</f>
        <v>0.5</v>
      </c>
      <c r="BI7" t="s">
        <v>684</v>
      </c>
      <c r="BJ7">
        <f>Inputs!E57</f>
        <v>0.5</v>
      </c>
      <c r="BK7" t="s">
        <v>13</v>
      </c>
      <c r="BL7">
        <f>Inputs!B68</f>
        <v>0.1</v>
      </c>
    </row>
    <row r="8" spans="1:64" ht="12.75" customHeight="1">
      <c r="A8" t="s">
        <v>374</v>
      </c>
      <c r="B8">
        <f>Inputs!C68</f>
        <v>0.1</v>
      </c>
      <c r="C8" t="s">
        <v>670</v>
      </c>
      <c r="D8">
        <f>Inputs!D68</f>
        <v>0.1</v>
      </c>
      <c r="E8" t="s">
        <v>126</v>
      </c>
      <c r="F8">
        <f>Inputs!B71</f>
        <v>0</v>
      </c>
      <c r="G8" t="s">
        <v>499</v>
      </c>
      <c r="H8">
        <f>Inputs!C71</f>
        <v>0</v>
      </c>
      <c r="I8" t="s">
        <v>506</v>
      </c>
      <c r="J8">
        <f>Inputs!D71</f>
        <v>0</v>
      </c>
      <c r="K8" t="s">
        <v>383</v>
      </c>
      <c r="L8">
        <f>Inputs!B75</f>
        <v>1</v>
      </c>
      <c r="M8" t="s">
        <v>366</v>
      </c>
      <c r="N8">
        <f>Inputs!E75</f>
        <v>0.06</v>
      </c>
      <c r="O8" t="s">
        <v>285</v>
      </c>
      <c r="P8">
        <f>Inputs!B79</f>
        <v>40634</v>
      </c>
      <c r="Q8" t="s">
        <v>621</v>
      </c>
      <c r="R8">
        <f>Inputs!B82</f>
        <v>1500000</v>
      </c>
      <c r="S8" t="s">
        <v>599</v>
      </c>
      <c r="T8">
        <f>Inputs!E79</f>
        <v>0.5</v>
      </c>
      <c r="U8" t="s">
        <v>459</v>
      </c>
      <c r="V8">
        <f>Inputs!E82</f>
        <v>-0.2</v>
      </c>
      <c r="W8" t="s">
        <v>152</v>
      </c>
      <c r="X8">
        <f>Inputs!B86</f>
        <v>0.3</v>
      </c>
      <c r="Y8" t="s">
        <v>480</v>
      </c>
      <c r="Z8">
        <f>Inputs!B92</f>
        <v>1</v>
      </c>
      <c r="AA8" t="s">
        <v>186</v>
      </c>
      <c r="AB8">
        <f>Inputs!B95</f>
        <v>100000</v>
      </c>
      <c r="AC8" t="s">
        <v>462</v>
      </c>
      <c r="AD8">
        <f>Inputs!C95</f>
        <v>0</v>
      </c>
      <c r="AE8" t="s">
        <v>338</v>
      </c>
      <c r="AF8">
        <f>Inputs!D95</f>
        <v>0</v>
      </c>
      <c r="AG8" t="s">
        <v>551</v>
      </c>
      <c r="AH8">
        <f>Inputs!B97</f>
        <v>1</v>
      </c>
      <c r="AI8" t="s">
        <v>287</v>
      </c>
      <c r="AJ8">
        <f>Inputs!C97</f>
        <v>1</v>
      </c>
      <c r="AK8" t="s">
        <v>486</v>
      </c>
      <c r="AL8">
        <f>Inputs!D97</f>
        <v>1</v>
      </c>
      <c r="AM8" t="s">
        <v>475</v>
      </c>
      <c r="AN8">
        <f>Inputs!B99</f>
        <v>0</v>
      </c>
      <c r="AO8" t="s">
        <v>558</v>
      </c>
      <c r="AP8">
        <f>Inputs!C99</f>
        <v>0</v>
      </c>
      <c r="AQ8" t="s">
        <v>502</v>
      </c>
      <c r="AR8">
        <f>Inputs!D99</f>
        <v>0</v>
      </c>
      <c r="AS8" t="s">
        <v>625</v>
      </c>
      <c r="AT8">
        <f>Inputs!B102</f>
        <v>0.3</v>
      </c>
      <c r="AU8" t="s">
        <v>668</v>
      </c>
      <c r="AV8">
        <f>Inputs!E102</f>
        <v>0.5</v>
      </c>
      <c r="AW8" t="s">
        <v>543</v>
      </c>
      <c r="AX8">
        <f>Inputs!B110</f>
        <v>1</v>
      </c>
      <c r="AY8" t="s">
        <v>547</v>
      </c>
      <c r="AZ8">
        <f>Inputs!B111</f>
        <v>1</v>
      </c>
      <c r="BA8" t="s">
        <v>269</v>
      </c>
      <c r="BB8">
        <f>Inputs!B115</f>
        <v>1</v>
      </c>
      <c r="BC8" t="s">
        <v>59</v>
      </c>
      <c r="BD8">
        <f>Inputs!C115</f>
        <v>26.4</v>
      </c>
      <c r="BE8" t="s">
        <v>484</v>
      </c>
      <c r="BF8">
        <f>Inputs!D115</f>
        <v>72.2</v>
      </c>
      <c r="BG8" t="s">
        <v>296</v>
      </c>
      <c r="BH8">
        <f>Inputs!B116</f>
        <v>1</v>
      </c>
      <c r="BI8" t="s">
        <v>633</v>
      </c>
      <c r="BJ8">
        <f>Inputs!C116</f>
        <v>26.4</v>
      </c>
      <c r="BK8" t="s">
        <v>359</v>
      </c>
      <c r="BL8">
        <f>Inputs!D116</f>
        <v>72.2</v>
      </c>
    </row>
    <row r="9" spans="1:64" ht="12.75" customHeight="1">
      <c r="A9" t="s">
        <v>129</v>
      </c>
      <c r="B9">
        <f>Inputs!B120</f>
        <v>0</v>
      </c>
      <c r="C9" t="s">
        <v>386</v>
      </c>
      <c r="D9">
        <f>Inputs!C120</f>
        <v>0</v>
      </c>
      <c r="E9" t="s">
        <v>179</v>
      </c>
      <c r="F9">
        <f>Inputs!D120</f>
        <v>0</v>
      </c>
      <c r="G9" t="s">
        <v>489</v>
      </c>
      <c r="H9">
        <f>Inputs!B121</f>
        <v>0</v>
      </c>
      <c r="I9" t="s">
        <v>457</v>
      </c>
      <c r="J9">
        <f>Inputs!C121</f>
        <v>0</v>
      </c>
      <c r="K9" t="s">
        <v>598</v>
      </c>
      <c r="L9">
        <f>Inputs!D121</f>
        <v>0</v>
      </c>
      <c r="M9" t="s">
        <v>653</v>
      </c>
      <c r="N9">
        <f>Inputs!B130</f>
        <v>1500000</v>
      </c>
      <c r="O9" t="s">
        <v>68</v>
      </c>
      <c r="P9">
        <f>Inputs!B131</f>
        <v>1500000</v>
      </c>
      <c r="Q9" t="s">
        <v>95</v>
      </c>
      <c r="R9">
        <f>Inputs!E126</f>
        <v>40634</v>
      </c>
      <c r="S9" t="s">
        <v>142</v>
      </c>
      <c r="T9">
        <f>Inputs!E127</f>
        <v>40634</v>
      </c>
      <c r="U9" t="s">
        <v>31</v>
      </c>
      <c r="V9">
        <f>Inputs!E130</f>
        <v>0.5</v>
      </c>
      <c r="W9" t="s">
        <v>251</v>
      </c>
      <c r="X9">
        <f>Inputs!E131</f>
        <v>0.5</v>
      </c>
      <c r="Y9" t="s">
        <v>460</v>
      </c>
      <c r="Z9">
        <f>Inputs!B136</f>
        <v>0.3</v>
      </c>
      <c r="AA9" t="s">
        <v>88</v>
      </c>
      <c r="AB9">
        <f>Inputs!B137</f>
        <v>0.3</v>
      </c>
      <c r="AC9" t="s">
        <v>69</v>
      </c>
      <c r="AD9">
        <f>Inputs!E136</f>
        <v>0.5</v>
      </c>
      <c r="AE9" t="s">
        <v>67</v>
      </c>
      <c r="AF9">
        <f>Inputs!E137</f>
        <v>0.5</v>
      </c>
      <c r="AG9" t="s">
        <v>372</v>
      </c>
      <c r="AH9">
        <f>Investment!F38</f>
        <v>0.3</v>
      </c>
      <c r="AI9" t="s">
        <v>96</v>
      </c>
      <c r="AJ9">
        <f>Conversion!B28</f>
        <v>0</v>
      </c>
      <c r="AK9" t="s">
        <v>468</v>
      </c>
      <c r="AL9">
        <f>Conversion!C28</f>
        <v>0</v>
      </c>
      <c r="AM9" t="s">
        <v>325</v>
      </c>
      <c r="AN9">
        <f>Conversion!D28</f>
        <v>0</v>
      </c>
      <c r="AO9" t="s">
        <v>606</v>
      </c>
      <c r="AP9">
        <f>Conversion!B29</f>
        <v>0</v>
      </c>
      <c r="AQ9" t="s">
        <v>561</v>
      </c>
      <c r="AR9">
        <f>Conversion!C29</f>
        <v>0</v>
      </c>
      <c r="AS9" t="s">
        <v>641</v>
      </c>
      <c r="AT9">
        <f>Conversion!D29</f>
        <v>0</v>
      </c>
      <c r="AU9" t="s">
        <v>61</v>
      </c>
      <c r="AV9">
        <f>Conversion!B31</f>
        <v>0</v>
      </c>
      <c r="AW9" t="s">
        <v>363</v>
      </c>
      <c r="AX9">
        <f>Conversion!C31</f>
        <v>0</v>
      </c>
      <c r="AY9" t="s">
        <v>441</v>
      </c>
      <c r="AZ9">
        <f>Conversion!D31</f>
        <v>0</v>
      </c>
      <c r="BA9" t="s">
        <v>160</v>
      </c>
      <c r="BB9">
        <f>Conversion!B32</f>
        <v>0</v>
      </c>
      <c r="BC9" t="s">
        <v>664</v>
      </c>
      <c r="BD9">
        <f>Conversion!C32</f>
        <v>0</v>
      </c>
      <c r="BE9" t="s">
        <v>300</v>
      </c>
      <c r="BF9">
        <f>Conversion!D32</f>
        <v>0</v>
      </c>
      <c r="BG9" t="s">
        <v>377</v>
      </c>
      <c r="BH9">
        <f>Conversion!B33</f>
        <v>0</v>
      </c>
      <c r="BI9" t="s">
        <v>184</v>
      </c>
      <c r="BJ9">
        <f>Conversion!C33</f>
        <v>0</v>
      </c>
      <c r="BK9" t="s">
        <v>589</v>
      </c>
      <c r="BL9">
        <f>Conversion!D33</f>
        <v>0</v>
      </c>
    </row>
    <row r="10" spans="1:64" ht="12.75" customHeight="1">
      <c r="A10" t="s">
        <v>291</v>
      </c>
      <c r="B10">
        <f>Conversion!B35</f>
        <v>0</v>
      </c>
      <c r="C10" t="s">
        <v>440</v>
      </c>
      <c r="D10">
        <f>Conversion!C35</f>
        <v>0</v>
      </c>
      <c r="E10" t="s">
        <v>612</v>
      </c>
      <c r="F10">
        <f>Conversion!D35</f>
        <v>0</v>
      </c>
      <c r="G10" t="s">
        <v>63</v>
      </c>
      <c r="H10">
        <f>Conversion!B36</f>
        <v>0</v>
      </c>
      <c r="I10" t="s">
        <v>403</v>
      </c>
      <c r="J10">
        <f>Conversion!C36</f>
        <v>0</v>
      </c>
      <c r="K10" t="s">
        <v>378</v>
      </c>
      <c r="L10">
        <f>Conversion!D36</f>
        <v>0</v>
      </c>
      <c r="M10" t="s">
        <v>505</v>
      </c>
      <c r="N10">
        <f>Prices!B14</f>
        <v>0</v>
      </c>
      <c r="O10" t="s">
        <v>214</v>
      </c>
      <c r="P10">
        <f>Prices!C14</f>
        <v>0</v>
      </c>
      <c r="Q10" t="s">
        <v>298</v>
      </c>
      <c r="R10">
        <f>Prices!D14</f>
        <v>0</v>
      </c>
      <c r="S10" t="s">
        <v>638</v>
      </c>
      <c r="T10">
        <f>Prices!B15</f>
        <v>0</v>
      </c>
      <c r="U10" t="s">
        <v>373</v>
      </c>
      <c r="V10">
        <f>Prices!C15</f>
        <v>0</v>
      </c>
      <c r="W10" t="s">
        <v>11</v>
      </c>
      <c r="X10">
        <f>Prices!D15</f>
        <v>0</v>
      </c>
      <c r="Y10" t="s">
        <v>241</v>
      </c>
      <c r="Z10">
        <f>Prices!B18</f>
        <v>1.1000000000000001</v>
      </c>
      <c r="AA10" t="s">
        <v>314</v>
      </c>
      <c r="AB10">
        <f>Prices!C18</f>
        <v>29.04</v>
      </c>
      <c r="AC10" t="s">
        <v>357</v>
      </c>
      <c r="AD10">
        <f>Prices!D18</f>
        <v>79.42</v>
      </c>
      <c r="AE10" t="s">
        <v>94</v>
      </c>
      <c r="AF10">
        <f>Prices!B20</f>
        <v>1</v>
      </c>
      <c r="AG10" t="s">
        <v>546</v>
      </c>
      <c r="AH10">
        <f>Prices!C20</f>
        <v>26.4</v>
      </c>
      <c r="AI10" t="s">
        <v>64</v>
      </c>
      <c r="AJ10">
        <f>Prices!D20</f>
        <v>72.2</v>
      </c>
      <c r="AK10" t="s">
        <v>577</v>
      </c>
      <c r="AL10">
        <f>Prices!B21</f>
        <v>1</v>
      </c>
      <c r="AM10" t="s">
        <v>681</v>
      </c>
      <c r="AN10">
        <f>Prices!C21</f>
        <v>26.4</v>
      </c>
      <c r="AO10" t="s">
        <v>566</v>
      </c>
      <c r="AP10">
        <f>Prices!D21</f>
        <v>72.2</v>
      </c>
      <c r="AQ10" t="s">
        <v>676</v>
      </c>
      <c r="AR10">
        <f>Boneyard!B12</f>
        <v>0</v>
      </c>
      <c r="AS10" t="s">
        <v>163</v>
      </c>
      <c r="AT10">
        <f>Boneyard!B13</f>
        <v>0</v>
      </c>
      <c r="AU10" t="s">
        <v>623</v>
      </c>
      <c r="AV10">
        <f>Boneyard!B14</f>
        <v>0</v>
      </c>
      <c r="AW10" t="s">
        <v>412</v>
      </c>
      <c r="AX10">
        <f>Boneyard!B16</f>
        <v>0</v>
      </c>
      <c r="AY10" t="s">
        <v>379</v>
      </c>
      <c r="AZ10">
        <f>Boneyard!B17</f>
        <v>0</v>
      </c>
      <c r="BA10" t="s">
        <v>141</v>
      </c>
      <c r="BB10">
        <f>Boneyard!D13</f>
        <v>40634</v>
      </c>
      <c r="BC10" t="s">
        <v>367</v>
      </c>
      <c r="BD10">
        <f>Boneyard!D14</f>
        <v>40634</v>
      </c>
      <c r="BE10" t="s">
        <v>240</v>
      </c>
      <c r="BF10">
        <f>Boneyard!F13</f>
        <v>1500000</v>
      </c>
      <c r="BG10" t="s">
        <v>525</v>
      </c>
      <c r="BH10">
        <f>Boneyard!F14</f>
        <v>1500000</v>
      </c>
      <c r="BI10" t="s">
        <v>332</v>
      </c>
      <c r="BJ10">
        <f>Boneyard!H13</f>
        <v>0.5</v>
      </c>
      <c r="BK10" t="s">
        <v>375</v>
      </c>
      <c r="BL10">
        <f>Boneyard!H14</f>
        <v>0.5</v>
      </c>
    </row>
    <row r="11" spans="1:64" ht="12.75" customHeight="1">
      <c r="A11" t="s">
        <v>281</v>
      </c>
      <c r="B11">
        <f>Boneyard!B25</f>
        <v>0</v>
      </c>
      <c r="C11" t="s">
        <v>494</v>
      </c>
      <c r="D11">
        <f>Boneyard!B26</f>
        <v>0</v>
      </c>
      <c r="E11" t="s">
        <v>472</v>
      </c>
      <c r="F11">
        <f>Boneyard!B28</f>
        <v>0</v>
      </c>
      <c r="G11" t="s">
        <v>649</v>
      </c>
      <c r="H11">
        <f>Boneyard!B29</f>
        <v>0</v>
      </c>
      <c r="I11" t="s">
        <v>513</v>
      </c>
      <c r="J11">
        <f>Boneyard!D21</f>
        <v>1</v>
      </c>
      <c r="K11" t="s">
        <v>381</v>
      </c>
      <c r="L11">
        <f>Boneyard!D22</f>
        <v>1</v>
      </c>
      <c r="M11" t="s">
        <v>327</v>
      </c>
      <c r="N11">
        <f>Boneyard!D24</f>
        <v>1</v>
      </c>
      <c r="O11" t="s">
        <v>609</v>
      </c>
      <c r="P11">
        <f>Boneyard!D25</f>
        <v>1</v>
      </c>
      <c r="Q11" t="s">
        <v>556</v>
      </c>
      <c r="R11">
        <f>Boneyard!D26</f>
        <v>1</v>
      </c>
      <c r="S11" t="s">
        <v>62</v>
      </c>
      <c r="T11">
        <f>Boneyard!F25</f>
        <v>0</v>
      </c>
      <c r="U11" t="s">
        <v>496</v>
      </c>
      <c r="V11">
        <f>Boneyard!F26</f>
        <v>0</v>
      </c>
      <c r="W11" t="s">
        <v>135</v>
      </c>
      <c r="X11">
        <f>Boneyard!F28</f>
        <v>0</v>
      </c>
      <c r="Y11" t="s">
        <v>500</v>
      </c>
      <c r="Z11">
        <f>Boneyard!F29</f>
        <v>0</v>
      </c>
      <c r="AA11" t="s">
        <v>523</v>
      </c>
      <c r="AB11">
        <f>Boneyard!H25</f>
        <v>0</v>
      </c>
      <c r="AC11" t="s">
        <v>587</v>
      </c>
      <c r="AD11">
        <f>Boneyard!H26</f>
        <v>0</v>
      </c>
      <c r="AE11" t="s">
        <v>471</v>
      </c>
      <c r="AF11">
        <f>Boneyard!H28</f>
        <v>0</v>
      </c>
      <c r="AG11" t="s">
        <v>428</v>
      </c>
      <c r="AH11">
        <f>Boneyard!H29</f>
        <v>0</v>
      </c>
      <c r="AI11" t="s">
        <v>50</v>
      </c>
      <c r="AJ11">
        <f>Boneyard!B35</f>
        <v>0</v>
      </c>
      <c r="AK11" t="s">
        <v>154</v>
      </c>
      <c r="AL11">
        <f>Boneyard!C35</f>
        <v>0</v>
      </c>
      <c r="AM11" t="s">
        <v>432</v>
      </c>
      <c r="AN11">
        <f>Boneyard!D35</f>
        <v>0</v>
      </c>
      <c r="AO11" t="s">
        <v>139</v>
      </c>
      <c r="AP11">
        <f>Boneyard!B36</f>
        <v>0</v>
      </c>
      <c r="AQ11" t="s">
        <v>146</v>
      </c>
      <c r="AR11">
        <f>Boneyard!C36</f>
        <v>0</v>
      </c>
      <c r="AS11" t="s">
        <v>677</v>
      </c>
      <c r="AT11">
        <f>Boneyard!D36</f>
        <v>0</v>
      </c>
      <c r="AU11" t="s">
        <v>346</v>
      </c>
      <c r="AV11">
        <f>Boneyard!B39</f>
        <v>0</v>
      </c>
      <c r="AW11" t="s">
        <v>580</v>
      </c>
      <c r="AX11">
        <f>Boneyard!C39</f>
        <v>0</v>
      </c>
      <c r="AY11" t="s">
        <v>553</v>
      </c>
      <c r="AZ11">
        <f>Boneyard!D39</f>
        <v>0</v>
      </c>
      <c r="BA11" t="s">
        <v>650</v>
      </c>
      <c r="BB11">
        <f>Boneyard!B40</f>
        <v>0</v>
      </c>
      <c r="BC11" t="s">
        <v>233</v>
      </c>
      <c r="BD11">
        <f>Boneyard!C40</f>
        <v>0</v>
      </c>
      <c r="BE11" t="s">
        <v>278</v>
      </c>
      <c r="BF11">
        <f>Boneyard!D40</f>
        <v>0</v>
      </c>
      <c r="BG11" t="s">
        <v>369</v>
      </c>
      <c r="BH11">
        <f>Boneyard!B42</f>
        <v>0</v>
      </c>
      <c r="BI11" t="s">
        <v>261</v>
      </c>
      <c r="BJ11">
        <f>Boneyard!C42</f>
        <v>0</v>
      </c>
      <c r="BK11" t="s">
        <v>143</v>
      </c>
      <c r="BL11">
        <f>Boneyard!D42</f>
        <v>0</v>
      </c>
    </row>
    <row r="12" spans="1:64" ht="12.75" customHeight="1">
      <c r="A12" t="s">
        <v>289</v>
      </c>
      <c r="B12">
        <f>Boneyard!B43</f>
        <v>0</v>
      </c>
      <c r="C12" t="s">
        <v>90</v>
      </c>
      <c r="D12">
        <f>Boneyard!C43</f>
        <v>0</v>
      </c>
      <c r="E12" t="s">
        <v>107</v>
      </c>
      <c r="F12">
        <f>Boneyard!D43</f>
        <v>0</v>
      </c>
      <c r="G12" t="s">
        <v>277</v>
      </c>
      <c r="H12">
        <f>Boneyard!B54</f>
        <v>0</v>
      </c>
      <c r="I12" t="s">
        <v>23</v>
      </c>
      <c r="J12">
        <f>Boneyard!C54</f>
        <v>0</v>
      </c>
      <c r="K12" t="s">
        <v>166</v>
      </c>
      <c r="L12">
        <f>Boneyard!D54</f>
        <v>0</v>
      </c>
      <c r="M12" t="s">
        <v>399</v>
      </c>
      <c r="N12">
        <f>Boneyard!B56</f>
        <v>0</v>
      </c>
      <c r="O12" t="s">
        <v>124</v>
      </c>
      <c r="P12">
        <f>Boneyard!C56</f>
        <v>0</v>
      </c>
      <c r="Q12" t="s">
        <v>555</v>
      </c>
      <c r="R12">
        <f>Boneyard!D56</f>
        <v>0</v>
      </c>
      <c r="S12" t="s">
        <v>351</v>
      </c>
      <c r="T12">
        <f>Boneyard!B57</f>
        <v>0</v>
      </c>
      <c r="U12" t="s">
        <v>436</v>
      </c>
      <c r="V12">
        <f>Boneyard!C57</f>
        <v>0</v>
      </c>
      <c r="W12" t="s">
        <v>244</v>
      </c>
      <c r="X12">
        <f>Boneyard!D57</f>
        <v>0</v>
      </c>
      <c r="Y12" t="s">
        <v>629</v>
      </c>
      <c r="Z12">
        <f>Boneyard!B63</f>
        <v>0</v>
      </c>
      <c r="AA12" t="s">
        <v>275</v>
      </c>
      <c r="AB12">
        <f>Boneyard!C63</f>
        <v>0</v>
      </c>
      <c r="AC12" t="s">
        <v>586</v>
      </c>
      <c r="AD12">
        <f>Boneyard!D63</f>
        <v>0</v>
      </c>
      <c r="AE12" t="s">
        <v>394</v>
      </c>
      <c r="AF12">
        <f>Boneyard!B64</f>
        <v>0</v>
      </c>
      <c r="AG12" t="s">
        <v>446</v>
      </c>
      <c r="AH12">
        <f>Boneyard!C64</f>
        <v>0</v>
      </c>
      <c r="AI12" t="s">
        <v>225</v>
      </c>
      <c r="AJ12">
        <f>Boneyard!D64</f>
        <v>0</v>
      </c>
      <c r="AK12" t="s">
        <v>516</v>
      </c>
      <c r="AL12">
        <f>Boneyard!B67</f>
        <v>0</v>
      </c>
      <c r="AM12" t="s">
        <v>348</v>
      </c>
      <c r="AN12">
        <f>Boneyard!C67</f>
        <v>0</v>
      </c>
      <c r="AO12" t="s">
        <v>656</v>
      </c>
      <c r="AP12">
        <f>Boneyard!D67</f>
        <v>0</v>
      </c>
      <c r="AQ12" t="s">
        <v>534</v>
      </c>
      <c r="AR12">
        <f>Boneyard!B69</f>
        <v>0</v>
      </c>
      <c r="AS12" t="s">
        <v>109</v>
      </c>
      <c r="AT12">
        <f>Boneyard!C69</f>
        <v>0</v>
      </c>
      <c r="AU12" t="s">
        <v>226</v>
      </c>
      <c r="AV12">
        <f>Boneyard!D69</f>
        <v>0</v>
      </c>
      <c r="AW12" t="s">
        <v>187</v>
      </c>
      <c r="AX12">
        <f>Boneyard!B70</f>
        <v>0</v>
      </c>
      <c r="AY12" t="s">
        <v>194</v>
      </c>
      <c r="AZ12">
        <f>Boneyard!C70</f>
        <v>0</v>
      </c>
      <c r="BA12" t="s">
        <v>260</v>
      </c>
      <c r="BB12">
        <f>Boneyard!D70</f>
        <v>0</v>
      </c>
      <c r="BC12" t="s">
        <v>236</v>
      </c>
      <c r="BD12">
        <f>Boneyard!B84</f>
        <v>0.5</v>
      </c>
      <c r="BE12" t="s">
        <v>347</v>
      </c>
      <c r="BF12">
        <f>Boneyard!B87</f>
        <v>0.5</v>
      </c>
    </row>
  </sheetData>
  <pageMargins left="0.75" right="0.75" top="1" bottom="1" header="0.5" footer="0.5"/>
  <pageSetup paperSize="9"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sheetPr>
    <outlinePr summaryBelow="0" summaryRight="0"/>
  </sheetPr>
  <dimension ref="A1:F141"/>
  <sheetViews>
    <sheetView workbookViewId="0">
      <selection sqref="A1:D1"/>
    </sheetView>
  </sheetViews>
  <sheetFormatPr defaultRowHeight="12.75" customHeight="1" outlineLevelRow="1"/>
  <cols>
    <col min="1" max="1" width="26.28515625" customWidth="1"/>
    <col min="2" max="2" width="11" customWidth="1"/>
    <col min="3" max="3" width="9.5703125" customWidth="1"/>
    <col min="4" max="4" width="25.42578125" customWidth="1"/>
    <col min="5" max="5" width="9.42578125" customWidth="1"/>
    <col min="6" max="6" width="10" customWidth="1"/>
  </cols>
  <sheetData>
    <row r="1" spans="1:6" ht="12.75" customHeight="1">
      <c r="A1" s="214" t="str">
        <f>"Capitalization Table"</f>
        <v>Capitalization Table</v>
      </c>
      <c r="B1" s="214"/>
      <c r="C1" s="214"/>
      <c r="D1" s="214"/>
    </row>
    <row r="2" spans="1:6" ht="12.75" customHeight="1">
      <c r="A2" s="214" t="str">
        <f>B8</f>
        <v>ABC Corp.</v>
      </c>
      <c r="B2" s="214"/>
      <c r="C2" s="214"/>
      <c r="D2" s="214"/>
    </row>
    <row r="3" spans="1:6" ht="12.75" customHeight="1">
      <c r="A3" s="214" t="str">
        <f>IF("Inputs"="(Default Input)","Ignore this sheet in normal use.","Investment Scenario "&amp;1&amp;", Valuation Scenario "&amp;1)</f>
        <v>Investment Scenario 1, Valuation Scenario 1</v>
      </c>
      <c r="B3" s="214"/>
      <c r="C3" s="214"/>
      <c r="D3" s="214"/>
    </row>
    <row r="4" spans="1:6" ht="12.75" customHeight="1">
      <c r="A4" s="214" t="str">
        <f>"Input Data"&amp;""</f>
        <v>Input Data</v>
      </c>
      <c r="B4" s="214"/>
      <c r="C4" s="214"/>
      <c r="D4" s="214"/>
    </row>
    <row r="5" spans="1:6" ht="12.75" customHeight="1">
      <c r="A5" s="214" t="str">
        <f>" "</f>
        <v xml:space="preserve"> </v>
      </c>
      <c r="B5" s="214"/>
      <c r="C5" s="214"/>
      <c r="D5" s="214"/>
    </row>
    <row r="6" spans="1:6" ht="12.75" customHeight="1">
      <c r="A6" s="213" t="str">
        <f>"Shaded cells are input cells. You can enter data in them."</f>
        <v>Shaded cells are input cells. You can enter data in them.</v>
      </c>
      <c r="B6" s="213"/>
      <c r="C6" s="213"/>
      <c r="D6" s="213"/>
      <c r="E6" s="213"/>
      <c r="F6" s="213"/>
    </row>
    <row r="7" spans="1:6" ht="12.75" customHeight="1">
      <c r="A7" s="213" t="str">
        <f>"Excel formulas in shaded cells are starting suggestions. You can overwrite them."</f>
        <v>Excel formulas in shaded cells are starting suggestions. You can overwrite them.</v>
      </c>
      <c r="B7" s="213"/>
      <c r="C7" s="213"/>
      <c r="D7" s="213"/>
      <c r="E7" s="213"/>
      <c r="F7" s="213"/>
    </row>
    <row r="8" spans="1:6" ht="12.75" customHeight="1">
      <c r="A8" s="4" t="str">
        <f>Labels!B5</f>
        <v>Company Name</v>
      </c>
      <c r="B8" s="5" t="s">
        <v>222</v>
      </c>
    </row>
    <row r="11" spans="1:6" ht="12.75" customHeight="1">
      <c r="A11" s="2" t="str">
        <f>"Event Data"</f>
        <v>Event Data</v>
      </c>
    </row>
    <row r="12" spans="1:6" ht="12.75" customHeight="1">
      <c r="A12" s="1" t="str">
        <f>" "</f>
        <v xml:space="preserve"> </v>
      </c>
    </row>
    <row r="13" spans="1:6" ht="12.75" customHeight="1">
      <c r="B13" s="6" t="str">
        <f>Labels!B78</f>
        <v>Seed</v>
      </c>
      <c r="C13" s="7" t="str">
        <f>Labels!B79</f>
        <v>Round A</v>
      </c>
      <c r="D13" s="8" t="str">
        <f>Labels!B80</f>
        <v>Exit</v>
      </c>
    </row>
    <row r="14" spans="1:6" ht="12.75" customHeight="1">
      <c r="A14" s="4" t="str">
        <f>Labels!B20</f>
        <v>Event Date</v>
      </c>
      <c r="B14" s="9">
        <f>DATE(2010,11*1-3,1)</f>
        <v>40391</v>
      </c>
      <c r="C14" s="9">
        <f>DATE(2010,11*2-3,1)</f>
        <v>40725</v>
      </c>
      <c r="D14" s="10">
        <f>DATE(2010,11*3-3,1)</f>
        <v>41061</v>
      </c>
    </row>
    <row r="15" spans="1:6" ht="12.75" customHeight="1">
      <c r="A15" s="213" t="str">
        <f>""</f>
        <v/>
      </c>
      <c r="B15" s="213"/>
      <c r="C15" s="213"/>
      <c r="D15" s="213"/>
      <c r="E15" s="213"/>
      <c r="F15" s="213"/>
    </row>
    <row r="19" spans="1:5" ht="12.75" customHeight="1" collapsed="1">
      <c r="A19" s="2" t="str">
        <f>"Firm Value"</f>
        <v>Firm Value</v>
      </c>
    </row>
    <row r="20" spans="1:5" ht="12.75" hidden="1" customHeight="1" outlineLevel="1">
      <c r="A20" s="1" t="str">
        <f>" "</f>
        <v xml:space="preserve"> </v>
      </c>
    </row>
    <row r="21" spans="1:5" ht="12.75" hidden="1" customHeight="1" outlineLevel="1">
      <c r="A21" s="11" t="str">
        <f>Labels!B23</f>
        <v>Firm Value</v>
      </c>
      <c r="B21" s="12"/>
    </row>
    <row r="22" spans="1:5" ht="12.75" hidden="1" customHeight="1" outlineLevel="1">
      <c r="A22" s="13" t="str">
        <f>"   "&amp;Labels!B78</f>
        <v xml:space="preserve">   Seed</v>
      </c>
      <c r="B22" s="14">
        <f>ROUND(1000000*1^(0.6+0.4*1),-4)</f>
        <v>1000000</v>
      </c>
    </row>
    <row r="23" spans="1:5" ht="12.75" hidden="1" customHeight="1" outlineLevel="1">
      <c r="A23" s="13" t="str">
        <f>"   "&amp;Labels!B79</f>
        <v xml:space="preserve">   Round A</v>
      </c>
      <c r="B23" s="14">
        <f>ROUND(1000000*2^(0.6+0.4*2),-4)</f>
        <v>2640000</v>
      </c>
    </row>
    <row r="24" spans="1:5" ht="12.75" hidden="1" customHeight="1" outlineLevel="1">
      <c r="A24" s="15" t="str">
        <f>"   "&amp;Labels!B80</f>
        <v xml:space="preserve">   Exit</v>
      </c>
      <c r="B24" s="16">
        <f>ROUND(1000000*3^(0.6+0.4*3),-4)</f>
        <v>7220000</v>
      </c>
    </row>
    <row r="25" spans="1:5" ht="12.75" hidden="1" customHeight="1" outlineLevel="1"/>
    <row r="26" spans="1:5" ht="12.75" hidden="1" customHeight="1" outlineLevel="1" collapsed="1"/>
    <row r="27" spans="1:5" ht="12.75" customHeight="1" collapsed="1"/>
    <row r="28" spans="1:5" ht="12.75" customHeight="1" collapsed="1">
      <c r="A28" s="2" t="str">
        <f>"Convertible Notes"</f>
        <v>Convertible Notes</v>
      </c>
    </row>
    <row r="29" spans="1:5" ht="12.75" hidden="1" customHeight="1" outlineLevel="1">
      <c r="A29" s="1" t="str">
        <f>" "</f>
        <v xml:space="preserve"> </v>
      </c>
    </row>
    <row r="30" spans="1:5" ht="12.75" hidden="1" customHeight="1" outlineLevel="1">
      <c r="B30" s="6" t="str">
        <f>Labels!B78</f>
        <v>Seed</v>
      </c>
      <c r="C30" s="7" t="str">
        <f>Labels!B79</f>
        <v>Round A</v>
      </c>
      <c r="D30" s="7" t="str">
        <f>Labels!B80</f>
        <v>Exit</v>
      </c>
      <c r="E30" s="17" t="str">
        <f>Labels!C77</f>
        <v>Total</v>
      </c>
    </row>
    <row r="31" spans="1:5" ht="12.75" hidden="1" customHeight="1" outlineLevel="1">
      <c r="A31" s="11" t="str">
        <f>Labels!B29</f>
        <v>New Investment</v>
      </c>
      <c r="B31" s="18"/>
      <c r="C31" s="18"/>
      <c r="D31" s="18"/>
      <c r="E31" s="12"/>
    </row>
    <row r="32" spans="1:5" ht="12.75" hidden="1" customHeight="1" outlineLevel="1">
      <c r="A32" s="13" t="str">
        <f>"   "&amp;Labels!B84</f>
        <v xml:space="preserve">   Series B</v>
      </c>
      <c r="B32" s="19">
        <f>0</f>
        <v>0</v>
      </c>
      <c r="C32" s="19">
        <f>0</f>
        <v>0</v>
      </c>
      <c r="D32" s="19">
        <f>0</f>
        <v>0</v>
      </c>
      <c r="E32" s="20">
        <f>SUM(B32:D32)</f>
        <v>0</v>
      </c>
    </row>
    <row r="33" spans="1:5" ht="12.75" hidden="1" customHeight="1" outlineLevel="1">
      <c r="A33" s="13" t="str">
        <f>"   "&amp;Labels!B85</f>
        <v xml:space="preserve">   Series A</v>
      </c>
      <c r="B33" s="19">
        <f>0</f>
        <v>0</v>
      </c>
      <c r="C33" s="19">
        <f>0</f>
        <v>0</v>
      </c>
      <c r="D33" s="19">
        <f>0</f>
        <v>0</v>
      </c>
      <c r="E33" s="20">
        <f>SUM(B33:D33)</f>
        <v>0</v>
      </c>
    </row>
    <row r="34" spans="1:5" ht="12.75" hidden="1" customHeight="1" outlineLevel="1">
      <c r="A34" s="21" t="str">
        <f>"   "&amp;Labels!C83</f>
        <v xml:space="preserve">   Subtotal</v>
      </c>
      <c r="B34" s="22">
        <f>SUM(B32:B33)</f>
        <v>0</v>
      </c>
      <c r="C34" s="22">
        <f>SUM(C32:C33)</f>
        <v>0</v>
      </c>
      <c r="D34" s="22">
        <f>SUM(D32:D33)</f>
        <v>0</v>
      </c>
      <c r="E34" s="23">
        <f>SUM(E32:E33)</f>
        <v>0</v>
      </c>
    </row>
    <row r="35" spans="1:5" ht="12.75" hidden="1" customHeight="1" outlineLevel="1"/>
    <row r="36" spans="1:5" ht="12.75" hidden="1" customHeight="1" outlineLevel="1">
      <c r="A36" s="1" t="str">
        <f>" "</f>
        <v xml:space="preserve"> </v>
      </c>
    </row>
    <row r="37" spans="1:5" ht="12.75" hidden="1" customHeight="1" outlineLevel="1">
      <c r="A37" s="11" t="str">
        <f>Labels!B13</f>
        <v>Note Conversion Discount %</v>
      </c>
      <c r="B37" s="24"/>
      <c r="D37" s="11" t="str">
        <f>Labels!B33</f>
        <v>Liq Multiple</v>
      </c>
      <c r="E37" s="25"/>
    </row>
    <row r="38" spans="1:5" ht="12.75" hidden="1" customHeight="1" outlineLevel="1">
      <c r="A38" s="13" t="str">
        <f>"   "&amp;Labels!B84</f>
        <v xml:space="preserve">   Series B</v>
      </c>
      <c r="B38" s="26">
        <f>0.3</f>
        <v>0.3</v>
      </c>
      <c r="D38" s="13" t="str">
        <f>"   "&amp;Labels!B84</f>
        <v xml:space="preserve">   Series B</v>
      </c>
      <c r="E38" s="27">
        <f>1</f>
        <v>1</v>
      </c>
    </row>
    <row r="39" spans="1:5" ht="12.75" hidden="1" customHeight="1" outlineLevel="1">
      <c r="A39" s="13" t="str">
        <f>"   "&amp;Labels!B85</f>
        <v xml:space="preserve">   Series A</v>
      </c>
      <c r="B39" s="26">
        <f>0.3</f>
        <v>0.3</v>
      </c>
      <c r="D39" s="15" t="str">
        <f>"   "&amp;Labels!B85</f>
        <v xml:space="preserve">   Series A</v>
      </c>
      <c r="E39" s="28">
        <f>1</f>
        <v>1</v>
      </c>
    </row>
    <row r="40" spans="1:5" ht="12.75" hidden="1" customHeight="1" outlineLevel="1">
      <c r="A40" s="4"/>
      <c r="B40" s="4"/>
    </row>
    <row r="41" spans="1:5" ht="12.75" hidden="1" customHeight="1" outlineLevel="1">
      <c r="A41" s="29" t="str">
        <f>Labels!B18</f>
        <v>Dividend % (Yr)</v>
      </c>
      <c r="B41" s="30"/>
    </row>
    <row r="42" spans="1:5" ht="12.75" hidden="1" customHeight="1" outlineLevel="1">
      <c r="A42" s="13" t="str">
        <f>"   "&amp;Labels!B84</f>
        <v xml:space="preserve">   Series B</v>
      </c>
      <c r="B42" s="31">
        <f>0.04</f>
        <v>0.04</v>
      </c>
    </row>
    <row r="43" spans="1:5" ht="12.75" hidden="1" customHeight="1" outlineLevel="1">
      <c r="A43" s="15" t="str">
        <f>"   "&amp;Labels!B85</f>
        <v xml:space="preserve">   Series A</v>
      </c>
      <c r="B43" s="32">
        <f>0.04</f>
        <v>0.04</v>
      </c>
    </row>
    <row r="44" spans="1:5" ht="12.75" hidden="1" customHeight="1" outlineLevel="1"/>
    <row r="45" spans="1:5" ht="12.75" hidden="1" customHeight="1" outlineLevel="1">
      <c r="A45" s="1" t="str">
        <f>"Conversion Criteria"</f>
        <v>Conversion Criteria</v>
      </c>
    </row>
    <row r="46" spans="1:5" ht="12.75" hidden="1" customHeight="1" outlineLevel="1">
      <c r="A46" s="11" t="str">
        <f>Labels!B9</f>
        <v>Conversion Trigger Date</v>
      </c>
      <c r="B46" s="33"/>
      <c r="D46" s="11" t="str">
        <f>Labels!B11</f>
        <v>Conversion Trigger Value %</v>
      </c>
      <c r="E46" s="24"/>
    </row>
    <row r="47" spans="1:5" ht="12.75" hidden="1" customHeight="1" outlineLevel="1">
      <c r="A47" s="13" t="str">
        <f>"   "&amp;Labels!B84</f>
        <v xml:space="preserve">   Series B</v>
      </c>
      <c r="B47" s="34">
        <f>DATE(2011,4,1)</f>
        <v>40634</v>
      </c>
      <c r="D47" s="13" t="str">
        <f>"   "&amp;Labels!B84</f>
        <v xml:space="preserve">   Series B</v>
      </c>
      <c r="E47" s="26">
        <f>0.5</f>
        <v>0.5</v>
      </c>
    </row>
    <row r="48" spans="1:5" ht="12.75" hidden="1" customHeight="1" outlineLevel="1">
      <c r="A48" s="13" t="str">
        <f>"   "&amp;Labels!B85</f>
        <v xml:space="preserve">   Series A</v>
      </c>
      <c r="B48" s="34">
        <f>DATE(2011,4,1)</f>
        <v>40634</v>
      </c>
      <c r="D48" s="13" t="str">
        <f>"   "&amp;Labels!B85</f>
        <v xml:space="preserve">   Series A</v>
      </c>
      <c r="E48" s="26">
        <f>0.5</f>
        <v>0.5</v>
      </c>
    </row>
    <row r="49" spans="1:5" ht="12.75" hidden="1" customHeight="1" outlineLevel="1">
      <c r="A49" s="4"/>
      <c r="B49" s="4"/>
      <c r="D49" s="4"/>
      <c r="E49" s="4"/>
    </row>
    <row r="50" spans="1:5" ht="12.75" hidden="1" customHeight="1" outlineLevel="1">
      <c r="A50" s="29" t="str">
        <f>Labels!B10</f>
        <v>Convert Trigger Invest</v>
      </c>
      <c r="B50" s="20"/>
      <c r="D50" s="29" t="str">
        <f>Labels!B8</f>
        <v>Conversion Liq Premium %</v>
      </c>
      <c r="E50" s="35"/>
    </row>
    <row r="51" spans="1:5" ht="12.75" hidden="1" customHeight="1" outlineLevel="1">
      <c r="A51" s="13" t="str">
        <f>"   "&amp;Labels!B84</f>
        <v xml:space="preserve">   Series B</v>
      </c>
      <c r="B51" s="14">
        <f>1000000</f>
        <v>1000000</v>
      </c>
      <c r="D51" s="13" t="str">
        <f>"   "&amp;Labels!B84</f>
        <v xml:space="preserve">   Series B</v>
      </c>
      <c r="E51" s="36">
        <f>0.2</f>
        <v>0.2</v>
      </c>
    </row>
    <row r="52" spans="1:5" ht="12.75" hidden="1" customHeight="1" outlineLevel="1">
      <c r="A52" s="15" t="str">
        <f>"   "&amp;Labels!B85</f>
        <v xml:space="preserve">   Series A</v>
      </c>
      <c r="B52" s="16">
        <f>1000000</f>
        <v>1000000</v>
      </c>
      <c r="D52" s="15" t="str">
        <f>"   "&amp;Labels!B85</f>
        <v xml:space="preserve">   Series A</v>
      </c>
      <c r="E52" s="37">
        <f>0.2</f>
        <v>0.2</v>
      </c>
    </row>
    <row r="53" spans="1:5" ht="12.75" hidden="1" customHeight="1" outlineLevel="1"/>
    <row r="54" spans="1:5" ht="12.75" hidden="1" customHeight="1" outlineLevel="1">
      <c r="A54" s="1" t="str">
        <f>"Rates of Return"</f>
        <v>Rates of Return</v>
      </c>
    </row>
    <row r="55" spans="1:5" ht="12.75" hidden="1" customHeight="1" outlineLevel="1">
      <c r="A55" s="11" t="str">
        <f>Labels!B14</f>
        <v>Discount Rate (Yr)</v>
      </c>
      <c r="B55" s="24"/>
      <c r="D55" s="11" t="str">
        <f>Labels!B31</f>
        <v>IRR Initial Guess (Yr)</v>
      </c>
      <c r="E55" s="38"/>
    </row>
    <row r="56" spans="1:5" ht="12.75" hidden="1" customHeight="1" outlineLevel="1">
      <c r="A56" s="13" t="str">
        <f>"   "&amp;Labels!B84</f>
        <v xml:space="preserve">   Series B</v>
      </c>
      <c r="B56" s="26">
        <f>0.3</f>
        <v>0.3</v>
      </c>
      <c r="D56" s="13" t="str">
        <f>"   "&amp;Labels!B84</f>
        <v xml:space="preserve">   Series B</v>
      </c>
      <c r="E56" s="31">
        <f>0.5</f>
        <v>0.5</v>
      </c>
    </row>
    <row r="57" spans="1:5" ht="12.75" hidden="1" customHeight="1" outlineLevel="1">
      <c r="A57" s="13" t="str">
        <f>"   "&amp;Labels!B85</f>
        <v xml:space="preserve">   Series A</v>
      </c>
      <c r="B57" s="26">
        <f>0.3</f>
        <v>0.3</v>
      </c>
      <c r="D57" s="13" t="str">
        <f>"   "&amp;Labels!B85</f>
        <v xml:space="preserve">   Series A</v>
      </c>
      <c r="E57" s="31">
        <f>0.5</f>
        <v>0.5</v>
      </c>
    </row>
    <row r="58" spans="1:5" ht="12.75" hidden="1" customHeight="1" outlineLevel="1">
      <c r="A58" s="21" t="str">
        <f>"   "&amp;Labels!C83</f>
        <v xml:space="preserve">   Subtotal</v>
      </c>
      <c r="B58" s="39" t="str">
        <f>" "</f>
        <v xml:space="preserve"> </v>
      </c>
      <c r="D58" s="21" t="str">
        <f>"   "&amp;Labels!C83</f>
        <v xml:space="preserve">   Subtotal</v>
      </c>
      <c r="E58" s="40">
        <f>AVERAGE(E56:E57)</f>
        <v>0.5</v>
      </c>
    </row>
    <row r="59" spans="1:5" ht="12.75" hidden="1" customHeight="1" outlineLevel="1"/>
    <row r="60" spans="1:5" ht="12.75" hidden="1" customHeight="1" outlineLevel="1" collapsed="1"/>
    <row r="61" spans="1:5" ht="12.75" customHeight="1" collapsed="1"/>
    <row r="62" spans="1:5" ht="12.75" customHeight="1">
      <c r="A62" s="2" t="str">
        <f>"Stock"</f>
        <v>Stock</v>
      </c>
    </row>
    <row r="63" spans="1:5" ht="12.75" customHeight="1">
      <c r="A63" s="1" t="str">
        <f>" "</f>
        <v xml:space="preserve"> </v>
      </c>
    </row>
    <row r="64" spans="1:5" ht="12.75" customHeight="1" collapsed="1">
      <c r="A64" s="3" t="str">
        <f>"Preferred Shares"</f>
        <v>Preferred Shares</v>
      </c>
    </row>
    <row r="65" spans="1:5" ht="12.75" hidden="1" customHeight="1" outlineLevel="1">
      <c r="A65" s="1" t="str">
        <f>" "</f>
        <v xml:space="preserve"> </v>
      </c>
    </row>
    <row r="66" spans="1:5" ht="12.75" hidden="1" customHeight="1" outlineLevel="1">
      <c r="B66" s="6" t="str">
        <f>Labels!B78</f>
        <v>Seed</v>
      </c>
      <c r="C66" s="7" t="str">
        <f>Labels!B79</f>
        <v>Round A</v>
      </c>
      <c r="D66" s="7" t="str">
        <f>Labels!B80</f>
        <v>Exit</v>
      </c>
      <c r="E66" s="17" t="str">
        <f>Labels!C77</f>
        <v>Total</v>
      </c>
    </row>
    <row r="67" spans="1:5" ht="12.75" hidden="1" customHeight="1" outlineLevel="1">
      <c r="A67" s="11" t="str">
        <f>Labels!B48</f>
        <v>Price Premium %</v>
      </c>
      <c r="B67" s="41"/>
      <c r="C67" s="41"/>
      <c r="D67" s="41"/>
      <c r="E67" s="38"/>
    </row>
    <row r="68" spans="1:5" ht="12.75" hidden="1" customHeight="1" outlineLevel="1">
      <c r="A68" s="13" t="str">
        <f>"   "&amp;Labels!B87</f>
        <v xml:space="preserve">   Series A</v>
      </c>
      <c r="B68" s="42">
        <f>0.1</f>
        <v>0.1</v>
      </c>
      <c r="C68" s="42">
        <f>B68</f>
        <v>0.1</v>
      </c>
      <c r="D68" s="42">
        <f>C68</f>
        <v>0.1</v>
      </c>
      <c r="E68" s="30"/>
    </row>
    <row r="69" spans="1:5" ht="12.75" hidden="1" customHeight="1" outlineLevel="1">
      <c r="A69" s="4"/>
      <c r="B69" s="43"/>
      <c r="C69" s="43"/>
      <c r="D69" s="43"/>
      <c r="E69" s="4"/>
    </row>
    <row r="70" spans="1:5" ht="12.75" hidden="1" customHeight="1" outlineLevel="1">
      <c r="A70" s="29" t="str">
        <f>Labels!B29</f>
        <v>New Investment</v>
      </c>
      <c r="B70" s="44"/>
      <c r="C70" s="44"/>
      <c r="D70" s="44"/>
      <c r="E70" s="20"/>
    </row>
    <row r="71" spans="1:5" ht="12.75" hidden="1" customHeight="1" outlineLevel="1">
      <c r="A71" s="13" t="str">
        <f>"   "&amp;Labels!B87</f>
        <v xml:space="preserve">   Series A</v>
      </c>
      <c r="B71" s="19">
        <f>0</f>
        <v>0</v>
      </c>
      <c r="C71" s="19">
        <f>0</f>
        <v>0</v>
      </c>
      <c r="D71" s="19">
        <f>0</f>
        <v>0</v>
      </c>
      <c r="E71" s="20">
        <f>SUM(B71:D71)</f>
        <v>0</v>
      </c>
    </row>
    <row r="72" spans="1:5" ht="12.75" hidden="1" customHeight="1" outlineLevel="1">
      <c r="A72" s="21" t="str">
        <f>"   "&amp;Labels!C86</f>
        <v xml:space="preserve">   Subtotal</v>
      </c>
      <c r="B72" s="22">
        <f>B71</f>
        <v>0</v>
      </c>
      <c r="C72" s="22">
        <f>C71</f>
        <v>0</v>
      </c>
      <c r="D72" s="22">
        <f>D71</f>
        <v>0</v>
      </c>
      <c r="E72" s="23">
        <f>E71</f>
        <v>0</v>
      </c>
    </row>
    <row r="73" spans="1:5" ht="12.75" hidden="1" customHeight="1" outlineLevel="1"/>
    <row r="74" spans="1:5" ht="12.75" hidden="1" customHeight="1" outlineLevel="1">
      <c r="A74" s="11" t="str">
        <f>Labels!B33</f>
        <v>Liq Multiple</v>
      </c>
      <c r="B74" s="25"/>
      <c r="D74" s="11" t="str">
        <f>Labels!B18</f>
        <v>Dividend % (Yr)</v>
      </c>
      <c r="E74" s="38"/>
    </row>
    <row r="75" spans="1:5" ht="12.75" hidden="1" customHeight="1" outlineLevel="1">
      <c r="A75" s="15" t="str">
        <f>"   "&amp;Labels!B87</f>
        <v xml:space="preserve">   Series A</v>
      </c>
      <c r="B75" s="28">
        <f>1</f>
        <v>1</v>
      </c>
      <c r="D75" s="15" t="str">
        <f>"   "&amp;Labels!B87</f>
        <v xml:space="preserve">   Series A</v>
      </c>
      <c r="E75" s="32">
        <f>0.06</f>
        <v>0.06</v>
      </c>
    </row>
    <row r="76" spans="1:5" ht="12.75" hidden="1" customHeight="1" outlineLevel="1"/>
    <row r="77" spans="1:5" ht="12.75" hidden="1" customHeight="1" outlineLevel="1">
      <c r="A77" s="1" t="str">
        <f>"Conversion Criteria"</f>
        <v>Conversion Criteria</v>
      </c>
    </row>
    <row r="78" spans="1:5" ht="12.75" hidden="1" customHeight="1" outlineLevel="1">
      <c r="A78" s="11" t="str">
        <f>Labels!B9</f>
        <v>Conversion Trigger Date</v>
      </c>
      <c r="B78" s="33"/>
      <c r="D78" s="11" t="str">
        <f>Labels!B11</f>
        <v>Conversion Trigger Value %</v>
      </c>
      <c r="E78" s="24"/>
    </row>
    <row r="79" spans="1:5" ht="12.75" hidden="1" customHeight="1" outlineLevel="1">
      <c r="A79" s="13" t="str">
        <f>"   "&amp;Labels!B87</f>
        <v xml:space="preserve">   Series A</v>
      </c>
      <c r="B79" s="34">
        <f>DATE(2011,4,1)</f>
        <v>40634</v>
      </c>
      <c r="D79" s="13" t="str">
        <f>"   "&amp;Labels!B87</f>
        <v xml:space="preserve">   Series A</v>
      </c>
      <c r="E79" s="26">
        <f>0.5</f>
        <v>0.5</v>
      </c>
    </row>
    <row r="80" spans="1:5" ht="12.75" hidden="1" customHeight="1" outlineLevel="1">
      <c r="A80" s="4"/>
      <c r="B80" s="4"/>
      <c r="D80" s="4"/>
      <c r="E80" s="4"/>
    </row>
    <row r="81" spans="1:5" ht="12.75" hidden="1" customHeight="1" outlineLevel="1">
      <c r="A81" s="29" t="str">
        <f>Labels!B10</f>
        <v>Convert Trigger Invest</v>
      </c>
      <c r="B81" s="20"/>
      <c r="D81" s="29" t="str">
        <f>Labels!B8</f>
        <v>Conversion Liq Premium %</v>
      </c>
      <c r="E81" s="35"/>
    </row>
    <row r="82" spans="1:5" ht="12.75" hidden="1" customHeight="1" outlineLevel="1">
      <c r="A82" s="15" t="str">
        <f>"   "&amp;Labels!B87</f>
        <v xml:space="preserve">   Series A</v>
      </c>
      <c r="B82" s="16">
        <f>1500000</f>
        <v>1500000</v>
      </c>
      <c r="D82" s="15" t="str">
        <f>"   "&amp;Labels!B87</f>
        <v xml:space="preserve">   Series A</v>
      </c>
      <c r="E82" s="37">
        <f>-0.2</f>
        <v>-0.2</v>
      </c>
    </row>
    <row r="83" spans="1:5" ht="12.75" hidden="1" customHeight="1" outlineLevel="1"/>
    <row r="84" spans="1:5" ht="12.75" hidden="1" customHeight="1" outlineLevel="1">
      <c r="A84" s="1" t="str">
        <f>"Rates of Return"</f>
        <v>Rates of Return</v>
      </c>
    </row>
    <row r="85" spans="1:5" ht="12.75" hidden="1" customHeight="1" outlineLevel="1">
      <c r="A85" s="11" t="str">
        <f>Labels!B14</f>
        <v>Discount Rate (Yr)</v>
      </c>
      <c r="B85" s="24"/>
      <c r="D85" s="11" t="str">
        <f>Labels!B14</f>
        <v>Discount Rate (Yr)</v>
      </c>
      <c r="E85" s="24"/>
    </row>
    <row r="86" spans="1:5" ht="12.75" hidden="1" customHeight="1" outlineLevel="1">
      <c r="A86" s="13" t="str">
        <f>"   "&amp;Labels!B87</f>
        <v xml:space="preserve">   Series A</v>
      </c>
      <c r="B86" s="26">
        <f>0.3</f>
        <v>0.3</v>
      </c>
      <c r="D86" s="13" t="str">
        <f>"   "&amp;Labels!B87</f>
        <v xml:space="preserve">   Series A</v>
      </c>
      <c r="E86" s="45">
        <f>B86</f>
        <v>0.3</v>
      </c>
    </row>
    <row r="87" spans="1:5" ht="12.75" hidden="1" customHeight="1" outlineLevel="1">
      <c r="A87" s="21" t="str">
        <f>"   "&amp;Labels!C86</f>
        <v xml:space="preserve">   Subtotal</v>
      </c>
      <c r="B87" s="39" t="str">
        <f>" "</f>
        <v xml:space="preserve"> </v>
      </c>
      <c r="D87" s="21" t="str">
        <f>"   "&amp;Labels!C86</f>
        <v xml:space="preserve">   Subtotal</v>
      </c>
      <c r="E87" s="39" t="str">
        <f>B87</f>
        <v xml:space="preserve"> </v>
      </c>
    </row>
    <row r="88" spans="1:5" ht="12.75" hidden="1" customHeight="1" outlineLevel="1"/>
    <row r="89" spans="1:5" ht="12.75" hidden="1" customHeight="1" outlineLevel="1" collapsed="1"/>
    <row r="90" spans="1:5" ht="12.75" customHeight="1" collapsed="1">
      <c r="A90" s="3" t="str">
        <f>"Common Shares"</f>
        <v>Common Shares</v>
      </c>
    </row>
    <row r="91" spans="1:5" ht="12.75" hidden="1" customHeight="1" outlineLevel="1">
      <c r="A91" s="1" t="str">
        <f>" "</f>
        <v xml:space="preserve"> </v>
      </c>
    </row>
    <row r="92" spans="1:5" ht="12.75" hidden="1" customHeight="1" outlineLevel="1">
      <c r="A92" s="4" t="str">
        <f>Labels!B47</f>
        <v>Initial Common Price</v>
      </c>
      <c r="B92" s="46">
        <v>1</v>
      </c>
    </row>
    <row r="93" spans="1:5" ht="12.75" hidden="1" customHeight="1" outlineLevel="1"/>
    <row r="94" spans="1:5" ht="12.75" hidden="1" customHeight="1" outlineLevel="1">
      <c r="B94" s="6" t="str">
        <f>Labels!B78</f>
        <v>Seed</v>
      </c>
      <c r="C94" s="7" t="str">
        <f>Labels!B79</f>
        <v>Round A</v>
      </c>
      <c r="D94" s="7" t="str">
        <f>Labels!B80</f>
        <v>Exit</v>
      </c>
      <c r="E94" s="17" t="str">
        <f>Labels!C77</f>
        <v>Total</v>
      </c>
    </row>
    <row r="95" spans="1:5" ht="12.75" hidden="1" customHeight="1" outlineLevel="1">
      <c r="A95" s="4" t="str">
        <f>Labels!B29</f>
        <v>New Investment</v>
      </c>
      <c r="B95" s="47">
        <f>100000</f>
        <v>100000</v>
      </c>
      <c r="C95" s="47">
        <f>0</f>
        <v>0</v>
      </c>
      <c r="D95" s="47">
        <f>0</f>
        <v>0</v>
      </c>
      <c r="E95" s="48">
        <f>SUM(B95:D95)</f>
        <v>100000</v>
      </c>
    </row>
    <row r="96" spans="1:5" ht="12.75" hidden="1" customHeight="1" outlineLevel="1"/>
    <row r="97" spans="1:5" ht="12.75" hidden="1" customHeight="1" outlineLevel="1">
      <c r="A97" s="4" t="str">
        <f>Labels!B57</f>
        <v>Split Factor</v>
      </c>
      <c r="B97" s="49">
        <f>1</f>
        <v>1</v>
      </c>
      <c r="C97" s="49">
        <f>1</f>
        <v>1</v>
      </c>
      <c r="D97" s="50">
        <f>1</f>
        <v>1</v>
      </c>
    </row>
    <row r="98" spans="1:5" ht="12.75" hidden="1" customHeight="1" outlineLevel="1"/>
    <row r="99" spans="1:5" ht="12.75" hidden="1" customHeight="1" outlineLevel="1">
      <c r="A99" s="4" t="str">
        <f>Labels!B17</f>
        <v>Dividend Common</v>
      </c>
      <c r="B99" s="51">
        <f>0/3</f>
        <v>0</v>
      </c>
      <c r="C99" s="51">
        <f>0/3</f>
        <v>0</v>
      </c>
      <c r="D99" s="51">
        <f>0/3</f>
        <v>0</v>
      </c>
      <c r="E99" s="52">
        <f>SUM(B99:D99)</f>
        <v>0</v>
      </c>
    </row>
    <row r="100" spans="1:5" ht="12.75" hidden="1" customHeight="1" outlineLevel="1"/>
    <row r="101" spans="1:5" ht="12.75" hidden="1" customHeight="1" outlineLevel="1">
      <c r="A101" s="1" t="str">
        <f>"Rates of Return"</f>
        <v>Rates of Return</v>
      </c>
    </row>
    <row r="102" spans="1:5" ht="12.75" hidden="1" customHeight="1" outlineLevel="1">
      <c r="A102" s="4" t="str">
        <f>Labels!B14</f>
        <v>Discount Rate (Yr)</v>
      </c>
      <c r="B102" s="53">
        <f>0.3</f>
        <v>0.3</v>
      </c>
      <c r="D102" s="4" t="str">
        <f>Labels!B31</f>
        <v>IRR Initial Guess (Yr)</v>
      </c>
      <c r="E102" s="54">
        <f>0.5</f>
        <v>0.5</v>
      </c>
    </row>
    <row r="103" spans="1:5" ht="12.75" hidden="1" customHeight="1" outlineLevel="1"/>
    <row r="104" spans="1:5" ht="12.75" hidden="1" customHeight="1" outlineLevel="1" collapsed="1"/>
    <row r="105" spans="1:5" ht="12.75" customHeight="1" collapsed="1"/>
    <row r="107" spans="1:5" ht="12.75" customHeight="1" collapsed="1">
      <c r="A107" s="2" t="str">
        <f>"Options"</f>
        <v>Options</v>
      </c>
    </row>
    <row r="108" spans="1:5" ht="12.75" hidden="1" customHeight="1" outlineLevel="1">
      <c r="A108" s="1" t="str">
        <f>" "</f>
        <v xml:space="preserve"> </v>
      </c>
    </row>
    <row r="109" spans="1:5" ht="12.75" hidden="1" customHeight="1" outlineLevel="1">
      <c r="A109" s="11" t="str">
        <f>Labels!B51</f>
        <v>New Unit Price %</v>
      </c>
      <c r="B109" s="24"/>
    </row>
    <row r="110" spans="1:5" ht="12.75" hidden="1" customHeight="1" outlineLevel="1">
      <c r="A110" s="13" t="str">
        <f>"   "&amp;Labels!B91</f>
        <v xml:space="preserve">   Series B</v>
      </c>
      <c r="B110" s="26">
        <f>1</f>
        <v>1</v>
      </c>
    </row>
    <row r="111" spans="1:5" ht="12.75" hidden="1" customHeight="1" outlineLevel="1">
      <c r="A111" s="15" t="str">
        <f>"   "&amp;Labels!B92</f>
        <v xml:space="preserve">   Series A</v>
      </c>
      <c r="B111" s="55">
        <f>1</f>
        <v>1</v>
      </c>
    </row>
    <row r="112" spans="1:5" ht="12.75" hidden="1" customHeight="1" outlineLevel="1"/>
    <row r="113" spans="1:5" ht="12.75" hidden="1" customHeight="1" outlineLevel="1">
      <c r="B113" s="6" t="str">
        <f>Labels!B78</f>
        <v>Seed</v>
      </c>
      <c r="C113" s="7" t="str">
        <f>Labels!B79</f>
        <v>Round A</v>
      </c>
      <c r="D113" s="7" t="str">
        <f>Labels!B80</f>
        <v>Exit</v>
      </c>
      <c r="E113" s="17" t="str">
        <f>Labels!C77</f>
        <v>Total</v>
      </c>
    </row>
    <row r="114" spans="1:5" ht="12.75" hidden="1" customHeight="1" outlineLevel="1">
      <c r="A114" s="11" t="str">
        <f>Labels!B50</f>
        <v>Price New Unit</v>
      </c>
      <c r="B114" s="56"/>
      <c r="C114" s="56"/>
      <c r="D114" s="56"/>
      <c r="E114" s="57"/>
    </row>
    <row r="115" spans="1:5" ht="12.75" hidden="1" customHeight="1" outlineLevel="1">
      <c r="A115" s="13" t="str">
        <f>"   "&amp;Labels!B91</f>
        <v xml:space="preserve">   Series B</v>
      </c>
      <c r="B115" s="58">
        <f>MAX(0,B110*Prices!B20+B110*(-B126))</f>
        <v>1</v>
      </c>
      <c r="C115" s="58">
        <f>MAX(0,B110*Prices!C20+B110*(-B126))</f>
        <v>26.4</v>
      </c>
      <c r="D115" s="58">
        <f>MAX(0,B110*Prices!D20+B110*(-B126))</f>
        <v>72.2</v>
      </c>
      <c r="E115" s="59">
        <f>AVERAGE(B115:D115)</f>
        <v>33.199999999999996</v>
      </c>
    </row>
    <row r="116" spans="1:5" ht="12.75" hidden="1" customHeight="1" outlineLevel="1">
      <c r="A116" s="13" t="str">
        <f>"   "&amp;Labels!B92</f>
        <v xml:space="preserve">   Series A</v>
      </c>
      <c r="B116" s="58">
        <f>MAX(0,B111*Prices!B20+B111*(-B127))</f>
        <v>1</v>
      </c>
      <c r="C116" s="58">
        <f>MAX(0,B111*Prices!C20+B111*(-B127))</f>
        <v>26.4</v>
      </c>
      <c r="D116" s="58">
        <f>MAX(0,B111*Prices!D20+B111*(-B127))</f>
        <v>72.2</v>
      </c>
      <c r="E116" s="59">
        <f>AVERAGE(B116:D116)</f>
        <v>33.199999999999996</v>
      </c>
    </row>
    <row r="117" spans="1:5" ht="12.75" hidden="1" customHeight="1" outlineLevel="1">
      <c r="A117" s="29" t="str">
        <f>"   "&amp;Labels!C90</f>
        <v xml:space="preserve">   Subtotal</v>
      </c>
      <c r="B117" s="60">
        <f>AVERAGE(B115:B116)</f>
        <v>1</v>
      </c>
      <c r="C117" s="60">
        <f>AVERAGE(C115:C116)</f>
        <v>26.4</v>
      </c>
      <c r="D117" s="60">
        <f>AVERAGE(D115:D116)</f>
        <v>72.2</v>
      </c>
      <c r="E117" s="59">
        <f>AVERAGE(E115:E116)</f>
        <v>33.199999999999996</v>
      </c>
    </row>
    <row r="118" spans="1:5" ht="12.75" hidden="1" customHeight="1" outlineLevel="1">
      <c r="A118" s="4"/>
      <c r="B118" s="43"/>
      <c r="C118" s="43"/>
      <c r="D118" s="43"/>
      <c r="E118" s="4"/>
    </row>
    <row r="119" spans="1:5" ht="12.75" hidden="1" customHeight="1" outlineLevel="1">
      <c r="A119" s="29" t="str">
        <f>Labels!B60</f>
        <v>New Units</v>
      </c>
      <c r="B119" s="61"/>
      <c r="C119" s="61"/>
      <c r="D119" s="61"/>
      <c r="E119" s="62"/>
    </row>
    <row r="120" spans="1:5" ht="12.75" hidden="1" customHeight="1" outlineLevel="1">
      <c r="A120" s="13" t="str">
        <f>"   "&amp;Labels!B91</f>
        <v xml:space="preserve">   Series B</v>
      </c>
      <c r="B120" s="63">
        <f t="shared" ref="B120:D121" si="0">0/3/10</f>
        <v>0</v>
      </c>
      <c r="C120" s="63">
        <f t="shared" si="0"/>
        <v>0</v>
      </c>
      <c r="D120" s="63">
        <f t="shared" si="0"/>
        <v>0</v>
      </c>
      <c r="E120" s="62">
        <f>SUM(B120:D120)</f>
        <v>0</v>
      </c>
    </row>
    <row r="121" spans="1:5" ht="12.75" hidden="1" customHeight="1" outlineLevel="1">
      <c r="A121" s="13" t="str">
        <f>"   "&amp;Labels!B92</f>
        <v xml:space="preserve">   Series A</v>
      </c>
      <c r="B121" s="63">
        <f t="shared" si="0"/>
        <v>0</v>
      </c>
      <c r="C121" s="63">
        <f t="shared" si="0"/>
        <v>0</v>
      </c>
      <c r="D121" s="63">
        <f t="shared" si="0"/>
        <v>0</v>
      </c>
      <c r="E121" s="62">
        <f>SUM(B121:D121)</f>
        <v>0</v>
      </c>
    </row>
    <row r="122" spans="1:5" ht="12.75" hidden="1" customHeight="1" outlineLevel="1">
      <c r="A122" s="21" t="str">
        <f>"   "&amp;Labels!C90</f>
        <v xml:space="preserve">   Subtotal</v>
      </c>
      <c r="B122" s="64">
        <f>SUM(B120:B121)</f>
        <v>0</v>
      </c>
      <c r="C122" s="64">
        <f>SUM(C120:C121)</f>
        <v>0</v>
      </c>
      <c r="D122" s="64">
        <f>SUM(D120:D121)</f>
        <v>0</v>
      </c>
      <c r="E122" s="65">
        <f>SUM(E120:E121)</f>
        <v>0</v>
      </c>
    </row>
    <row r="123" spans="1:5" ht="12.75" hidden="1" customHeight="1" outlineLevel="1"/>
    <row r="124" spans="1:5" ht="12.75" hidden="1" customHeight="1" outlineLevel="1">
      <c r="A124" s="1" t="str">
        <f>"Exercise Criteria"</f>
        <v>Exercise Criteria</v>
      </c>
    </row>
    <row r="125" spans="1:5" ht="12.75" hidden="1" customHeight="1" outlineLevel="1">
      <c r="A125" s="11" t="str">
        <f>Labels!B38</f>
        <v>Exercise Price</v>
      </c>
      <c r="B125" s="57"/>
      <c r="D125" s="11" t="str">
        <f>Labels!B9</f>
        <v>Conversion Trigger Date</v>
      </c>
      <c r="E125" s="33"/>
    </row>
    <row r="126" spans="1:5" ht="12.75" hidden="1" customHeight="1" outlineLevel="1">
      <c r="A126" s="13" t="str">
        <f>"   "&amp;Labels!B91</f>
        <v xml:space="preserve">   Series B</v>
      </c>
      <c r="B126" s="59">
        <f>0</f>
        <v>0</v>
      </c>
      <c r="D126" s="13" t="str">
        <f>"   "&amp;Labels!B91</f>
        <v xml:space="preserve">   Series B</v>
      </c>
      <c r="E126" s="34">
        <f>DATE(2011,4,1)</f>
        <v>40634</v>
      </c>
    </row>
    <row r="127" spans="1:5" ht="12.75" hidden="1" customHeight="1" outlineLevel="1">
      <c r="A127" s="13" t="str">
        <f>"   "&amp;Labels!B92</f>
        <v xml:space="preserve">   Series A</v>
      </c>
      <c r="B127" s="59">
        <f>0</f>
        <v>0</v>
      </c>
      <c r="D127" s="13" t="str">
        <f>"   "&amp;Labels!B92</f>
        <v xml:space="preserve">   Series A</v>
      </c>
      <c r="E127" s="34">
        <f>DATE(2011,4,1)</f>
        <v>40634</v>
      </c>
    </row>
    <row r="128" spans="1:5" ht="12.75" hidden="1" customHeight="1" outlineLevel="1">
      <c r="A128" s="4"/>
      <c r="B128" s="4"/>
      <c r="D128" s="4"/>
      <c r="E128" s="4"/>
    </row>
    <row r="129" spans="1:6" ht="12.75" hidden="1" customHeight="1" outlineLevel="1">
      <c r="A129" s="29" t="str">
        <f>Labels!B10</f>
        <v>Convert Trigger Invest</v>
      </c>
      <c r="B129" s="20"/>
      <c r="D129" s="29" t="str">
        <f>Labels!B11</f>
        <v>Conversion Trigger Value %</v>
      </c>
      <c r="E129" s="45"/>
    </row>
    <row r="130" spans="1:6" ht="12.75" hidden="1" customHeight="1" outlineLevel="1">
      <c r="A130" s="13" t="str">
        <f>"   "&amp;Labels!B91</f>
        <v xml:space="preserve">   Series B</v>
      </c>
      <c r="B130" s="14">
        <f>1500000</f>
        <v>1500000</v>
      </c>
      <c r="D130" s="13" t="str">
        <f>"   "&amp;Labels!B91</f>
        <v xml:space="preserve">   Series B</v>
      </c>
      <c r="E130" s="26">
        <f>0.5</f>
        <v>0.5</v>
      </c>
    </row>
    <row r="131" spans="1:6" ht="12.75" hidden="1" customHeight="1" outlineLevel="1">
      <c r="A131" s="15" t="str">
        <f>"   "&amp;Labels!B92</f>
        <v xml:space="preserve">   Series A</v>
      </c>
      <c r="B131" s="16">
        <f>1500000</f>
        <v>1500000</v>
      </c>
      <c r="D131" s="15" t="str">
        <f>"   "&amp;Labels!B92</f>
        <v xml:space="preserve">   Series A</v>
      </c>
      <c r="E131" s="55">
        <f>0.5</f>
        <v>0.5</v>
      </c>
    </row>
    <row r="132" spans="1:6" ht="12.75" hidden="1" customHeight="1" outlineLevel="1">
      <c r="A132" s="213" t="str">
        <f>"You can edit exercise prices for individual series even though the cells are not shaded."</f>
        <v>You can edit exercise prices for individual series even though the cells are not shaded.</v>
      </c>
      <c r="B132" s="213"/>
      <c r="C132" s="213"/>
      <c r="D132" s="213"/>
      <c r="E132" s="213"/>
      <c r="F132" s="213"/>
    </row>
    <row r="133" spans="1:6" ht="12.75" hidden="1" customHeight="1" outlineLevel="1"/>
    <row r="134" spans="1:6" ht="12.75" hidden="1" customHeight="1" outlineLevel="1">
      <c r="A134" s="1" t="str">
        <f>"Rates of Return"</f>
        <v>Rates of Return</v>
      </c>
    </row>
    <row r="135" spans="1:6" ht="12.75" hidden="1" customHeight="1" outlineLevel="1">
      <c r="A135" s="11" t="str">
        <f>Labels!B14</f>
        <v>Discount Rate (Yr)</v>
      </c>
      <c r="B135" s="24"/>
      <c r="D135" s="11" t="str">
        <f>Labels!B31</f>
        <v>IRR Initial Guess (Yr)</v>
      </c>
      <c r="E135" s="38"/>
    </row>
    <row r="136" spans="1:6" ht="12.75" hidden="1" customHeight="1" outlineLevel="1">
      <c r="A136" s="13" t="str">
        <f>"   "&amp;Labels!B91</f>
        <v xml:space="preserve">   Series B</v>
      </c>
      <c r="B136" s="26">
        <f>0.3</f>
        <v>0.3</v>
      </c>
      <c r="D136" s="13" t="str">
        <f>"   "&amp;Labels!B91</f>
        <v xml:space="preserve">   Series B</v>
      </c>
      <c r="E136" s="31">
        <f>0.5</f>
        <v>0.5</v>
      </c>
    </row>
    <row r="137" spans="1:6" ht="12.75" hidden="1" customHeight="1" outlineLevel="1">
      <c r="A137" s="13" t="str">
        <f>"   "&amp;Labels!B92</f>
        <v xml:space="preserve">   Series A</v>
      </c>
      <c r="B137" s="26">
        <f>0.3</f>
        <v>0.3</v>
      </c>
      <c r="D137" s="13" t="str">
        <f>"   "&amp;Labels!B92</f>
        <v xml:space="preserve">   Series A</v>
      </c>
      <c r="E137" s="31">
        <f>0.5</f>
        <v>0.5</v>
      </c>
    </row>
    <row r="138" spans="1:6" ht="12.75" hidden="1" customHeight="1" outlineLevel="1">
      <c r="A138" s="21" t="str">
        <f>"   "&amp;Labels!C90</f>
        <v xml:space="preserve">   Subtotal</v>
      </c>
      <c r="B138" s="39" t="str">
        <f>" "</f>
        <v xml:space="preserve"> </v>
      </c>
      <c r="D138" s="21" t="str">
        <f>"   "&amp;Labels!C90</f>
        <v xml:space="preserve">   Subtotal</v>
      </c>
      <c r="E138" s="40">
        <f>AVERAGE(E136:E137)</f>
        <v>0.5</v>
      </c>
    </row>
    <row r="139" spans="1:6" ht="12.75" hidden="1" customHeight="1" outlineLevel="1"/>
    <row r="140" spans="1:6" ht="12.75" hidden="1" customHeight="1" outlineLevel="1" collapsed="1"/>
    <row r="141" spans="1:6" ht="12.75" customHeight="1" collapsed="1"/>
  </sheetData>
  <mergeCells count="9">
    <mergeCell ref="A7:F7"/>
    <mergeCell ref="A15:F15"/>
    <mergeCell ref="A132:F132"/>
    <mergeCell ref="A1:D1"/>
    <mergeCell ref="A2:D2"/>
    <mergeCell ref="A3:D3"/>
    <mergeCell ref="A4:D4"/>
    <mergeCell ref="A5:D5"/>
    <mergeCell ref="A6:F6"/>
  </mergeCells>
  <pageMargins left="0.75" right="0.75" top="1" bottom="1" header="0.5" footer="0.5"/>
  <pageSetup paperSize="9" orientation="landscape" horizontalDpi="0" verticalDpi="0" copies="0"/>
  <headerFooter alignWithMargins="0"/>
  <legacyDrawing r:id="rId1"/>
</worksheet>
</file>

<file path=xl/worksheets/sheet3.xml><?xml version="1.0" encoding="utf-8"?>
<worksheet xmlns="http://schemas.openxmlformats.org/spreadsheetml/2006/main" xmlns:r="http://schemas.openxmlformats.org/officeDocument/2006/relationships">
  <sheetPr>
    <outlinePr summaryBelow="0" summaryRight="0"/>
  </sheetPr>
  <dimension ref="A1:J305"/>
  <sheetViews>
    <sheetView workbookViewId="0">
      <selection sqref="A1:D1"/>
    </sheetView>
  </sheetViews>
  <sheetFormatPr defaultRowHeight="12.75" customHeight="1" outlineLevelRow="1"/>
  <cols>
    <col min="1" max="1" width="25.7109375" customWidth="1"/>
    <col min="2" max="2" width="9.5703125" customWidth="1"/>
    <col min="3" max="3" width="17.7109375" customWidth="1"/>
    <col min="4" max="4" width="9.5703125" customWidth="1"/>
    <col min="5" max="5" width="17.5703125" customWidth="1"/>
    <col min="6" max="6" width="9.42578125" customWidth="1"/>
    <col min="7" max="7" width="18.28515625" customWidth="1"/>
    <col min="8" max="8" width="9.42578125" customWidth="1"/>
    <col min="9" max="9" width="14.85546875" customWidth="1"/>
    <col min="10" max="10" width="9.42578125" customWidth="1"/>
  </cols>
  <sheetData>
    <row r="1" spans="1:10" ht="12.75" customHeight="1">
      <c r="A1" s="214" t="str">
        <f>"Capitalization Table"</f>
        <v>Capitalization Table</v>
      </c>
      <c r="B1" s="214"/>
      <c r="C1" s="214"/>
      <c r="D1" s="214"/>
    </row>
    <row r="2" spans="1:10" ht="12.75" customHeight="1">
      <c r="A2" s="214" t="str">
        <f>Inputs!B8</f>
        <v>ABC Corp.</v>
      </c>
      <c r="B2" s="214"/>
      <c r="C2" s="214"/>
      <c r="D2" s="214"/>
    </row>
    <row r="3" spans="1:10" ht="12.75" customHeight="1">
      <c r="A3" s="214" t="str">
        <f>IF("Investment"="(Default Input)","Ignore this sheet in normal use.","Investment Scenario "&amp;1&amp;", Valuation Scenario "&amp;1)</f>
        <v>Investment Scenario 1, Valuation Scenario 1</v>
      </c>
      <c r="B3" s="214"/>
      <c r="C3" s="214"/>
      <c r="D3" s="214"/>
    </row>
    <row r="4" spans="1:10" ht="12.75" customHeight="1">
      <c r="A4" s="214" t="str">
        <f>"Investment"</f>
        <v>Investment</v>
      </c>
      <c r="B4" s="214"/>
      <c r="C4" s="214"/>
      <c r="D4" s="214"/>
    </row>
    <row r="5" spans="1:10" ht="12.75" customHeight="1">
      <c r="A5" s="214" t="str">
        <f>""</f>
        <v/>
      </c>
      <c r="B5" s="214"/>
      <c r="C5" s="214"/>
      <c r="D5" s="214"/>
    </row>
    <row r="6" spans="1:10" ht="12.75" customHeight="1" collapsed="1">
      <c r="A6" s="215" t="str">
        <f>"Return on Investment"</f>
        <v>Return on Investment</v>
      </c>
      <c r="B6" s="215"/>
    </row>
    <row r="7" spans="1:10" ht="12.75" hidden="1" customHeight="1" outlineLevel="1">
      <c r="A7" s="1" t="str">
        <f>" "</f>
        <v xml:space="preserve"> </v>
      </c>
    </row>
    <row r="8" spans="1:10" ht="12.75" hidden="1" customHeight="1" outlineLevel="1">
      <c r="A8" s="216" t="str">
        <f>"Investment and Payout"</f>
        <v>Investment and Payout</v>
      </c>
      <c r="B8" s="216"/>
    </row>
    <row r="9" spans="1:10" ht="12.75" hidden="1" customHeight="1" outlineLevel="1">
      <c r="A9" s="216" t="str">
        <f>""</f>
        <v/>
      </c>
      <c r="B9" s="216"/>
    </row>
    <row r="10" spans="1:10" ht="12.75" hidden="1" customHeight="1" outlineLevel="1">
      <c r="A10" s="11" t="str">
        <f>Labels!B25</f>
        <v>Invest by Origin ex-Dividend</v>
      </c>
      <c r="B10" s="12"/>
      <c r="C10" s="11" t="str">
        <f>Labels!B16</f>
        <v>Dividend by Origin</v>
      </c>
      <c r="D10" s="12"/>
      <c r="E10" s="11" t="str">
        <f>Labels!B41</f>
        <v>Payout by Origin</v>
      </c>
      <c r="F10" s="12"/>
      <c r="G10" s="11" t="str">
        <f>Labels!B43</f>
        <v>Payout by Origin %</v>
      </c>
      <c r="H10" s="66"/>
      <c r="I10" s="11" t="str">
        <f>Labels!B53</f>
        <v>Return Multiple</v>
      </c>
      <c r="J10" s="67"/>
    </row>
    <row r="11" spans="1:10" ht="12.75" hidden="1" customHeight="1" outlineLevel="1">
      <c r="A11" s="13" t="str">
        <f>"   "&amp;Labels!B83</f>
        <v xml:space="preserve">   Conv Note</v>
      </c>
      <c r="B11" s="20"/>
      <c r="C11" s="13" t="str">
        <f>"   "&amp;Labels!B83</f>
        <v xml:space="preserve">   Conv Note</v>
      </c>
      <c r="D11" s="20"/>
      <c r="E11" s="13" t="str">
        <f>"   "&amp;Labels!B83</f>
        <v xml:space="preserve">   Conv Note</v>
      </c>
      <c r="F11" s="20"/>
      <c r="G11" s="13" t="str">
        <f>"   "&amp;Labels!B83</f>
        <v xml:space="preserve">   Conv Note</v>
      </c>
      <c r="H11" s="68"/>
      <c r="I11" s="13" t="str">
        <f>"   "&amp;Labels!B83</f>
        <v xml:space="preserve">   Conv Note</v>
      </c>
      <c r="J11" s="35"/>
    </row>
    <row r="12" spans="1:10" ht="12.75" hidden="1" customHeight="1" outlineLevel="1">
      <c r="A12" s="69" t="str">
        <f>"      "&amp;Labels!B84</f>
        <v xml:space="preserve">      Series B</v>
      </c>
      <c r="B12" s="20">
        <f>D190</f>
        <v>0</v>
      </c>
      <c r="C12" s="69" t="str">
        <f>"      "&amp;Labels!B84</f>
        <v xml:space="preserve">      Series B</v>
      </c>
      <c r="D12" s="20">
        <f>SUM('(Other Computations)'!B236:D236)</f>
        <v>0</v>
      </c>
      <c r="E12" s="69" t="str">
        <f>"      "&amp;Labels!B84</f>
        <v xml:space="preserve">      Series B</v>
      </c>
      <c r="F12" s="20">
        <f>'(Other Computations)'!D264</f>
        <v>0</v>
      </c>
      <c r="G12" s="69" t="str">
        <f>"      "&amp;Labels!B84</f>
        <v xml:space="preserve">      Series B</v>
      </c>
      <c r="H12" s="68">
        <f>'(Other Computations)'!D296</f>
        <v>0</v>
      </c>
      <c r="I12" s="69" t="str">
        <f>"      "&amp;Labels!B84</f>
        <v xml:space="preserve">      Series B</v>
      </c>
      <c r="J12" s="35">
        <f>IF(D190+0*0=0,0,('(Other Computations)'!D264+SUM(B290:D290))/(D190+0*0))</f>
        <v>0</v>
      </c>
    </row>
    <row r="13" spans="1:10" ht="12.75" hidden="1" customHeight="1" outlineLevel="1">
      <c r="A13" s="69" t="str">
        <f>"      "&amp;Labels!B85</f>
        <v xml:space="preserve">      Series A</v>
      </c>
      <c r="B13" s="20">
        <f>D191</f>
        <v>0</v>
      </c>
      <c r="C13" s="69" t="str">
        <f>"      "&amp;Labels!B85</f>
        <v xml:space="preserve">      Series A</v>
      </c>
      <c r="D13" s="20">
        <f>SUM('(Other Computations)'!B237:D237)</f>
        <v>0</v>
      </c>
      <c r="E13" s="69" t="str">
        <f>"      "&amp;Labels!B85</f>
        <v xml:space="preserve">      Series A</v>
      </c>
      <c r="F13" s="20">
        <f>'(Other Computations)'!D265</f>
        <v>0</v>
      </c>
      <c r="G13" s="69" t="str">
        <f>"      "&amp;Labels!B85</f>
        <v xml:space="preserve">      Series A</v>
      </c>
      <c r="H13" s="68">
        <f>'(Other Computations)'!D297</f>
        <v>0</v>
      </c>
      <c r="I13" s="69" t="str">
        <f>"      "&amp;Labels!B85</f>
        <v xml:space="preserve">      Series A</v>
      </c>
      <c r="J13" s="35">
        <f>IF(D191+0*0=0,0,('(Other Computations)'!D265+SUM(B291:D291))/(D191+0*0))</f>
        <v>0</v>
      </c>
    </row>
    <row r="14" spans="1:10" ht="12.75" hidden="1" customHeight="1" outlineLevel="1">
      <c r="A14" s="13" t="str">
        <f>"      "&amp;Labels!C83</f>
        <v xml:space="preserve">      Subtotal</v>
      </c>
      <c r="B14" s="20">
        <f>SUM(B12:B13)</f>
        <v>0</v>
      </c>
      <c r="C14" s="13" t="str">
        <f>"      "&amp;Labels!C83</f>
        <v xml:space="preserve">      Subtotal</v>
      </c>
      <c r="D14" s="20">
        <f>SUM(D12:D13)</f>
        <v>0</v>
      </c>
      <c r="E14" s="13" t="str">
        <f>"      "&amp;Labels!C83</f>
        <v xml:space="preserve">      Subtotal</v>
      </c>
      <c r="F14" s="20">
        <f>'(Other Computations)'!D266</f>
        <v>0</v>
      </c>
      <c r="G14" s="13" t="str">
        <f>"      "&amp;Labels!C83</f>
        <v xml:space="preserve">      Subtotal</v>
      </c>
      <c r="H14" s="68">
        <f>'(Other Computations)'!D298</f>
        <v>0</v>
      </c>
      <c r="I14" s="13" t="str">
        <f>"      "&amp;Labels!C83</f>
        <v xml:space="preserve">      Subtotal</v>
      </c>
      <c r="J14" s="35">
        <f>IF(D192+0*0=0,0,('(Other Computations)'!D266+SUM(B292:D292))/(D192+0*0))</f>
        <v>0</v>
      </c>
    </row>
    <row r="15" spans="1:10" ht="12.75" hidden="1" customHeight="1" outlineLevel="1">
      <c r="A15" s="13" t="str">
        <f>"   "&amp;Labels!B86</f>
        <v xml:space="preserve">   Preferred</v>
      </c>
      <c r="B15" s="20"/>
      <c r="C15" s="13" t="str">
        <f>"   "&amp;Labels!B86</f>
        <v xml:space="preserve">   Preferred</v>
      </c>
      <c r="D15" s="20"/>
      <c r="E15" s="13" t="str">
        <f>"   "&amp;Labels!B86</f>
        <v xml:space="preserve">   Preferred</v>
      </c>
      <c r="F15" s="20"/>
      <c r="G15" s="13" t="str">
        <f>"   "&amp;Labels!B86</f>
        <v xml:space="preserve">   Preferred</v>
      </c>
      <c r="H15" s="68"/>
      <c r="I15" s="13" t="str">
        <f>"   "&amp;Labels!B86</f>
        <v xml:space="preserve">   Preferred</v>
      </c>
      <c r="J15" s="35"/>
    </row>
    <row r="16" spans="1:10" ht="12.75" hidden="1" customHeight="1" outlineLevel="1">
      <c r="A16" s="69" t="str">
        <f>"      "&amp;Labels!B87</f>
        <v xml:space="preserve">      Series A</v>
      </c>
      <c r="B16" s="20">
        <f>D194</f>
        <v>0</v>
      </c>
      <c r="C16" s="69" t="str">
        <f>"      "&amp;Labels!B87</f>
        <v xml:space="preserve">      Series A</v>
      </c>
      <c r="D16" s="20">
        <f>SUM('(Other Computations)'!B240:D240)</f>
        <v>0</v>
      </c>
      <c r="E16" s="69" t="str">
        <f>"      "&amp;Labels!B87</f>
        <v xml:space="preserve">      Series A</v>
      </c>
      <c r="F16" s="20">
        <f>'(Other Computations)'!D268</f>
        <v>0</v>
      </c>
      <c r="G16" s="69" t="str">
        <f>"      "&amp;Labels!B87</f>
        <v xml:space="preserve">      Series A</v>
      </c>
      <c r="H16" s="68">
        <f>'(Other Computations)'!D300</f>
        <v>0</v>
      </c>
      <c r="I16" s="69" t="str">
        <f>"      "&amp;Labels!B87</f>
        <v xml:space="preserve">      Series A</v>
      </c>
      <c r="J16" s="35">
        <f>IF(D194+0*0=0,0,('(Other Computations)'!D268+SUM(B294:D294))/(D194+0*0))</f>
        <v>0</v>
      </c>
    </row>
    <row r="17" spans="1:10" ht="12.75" hidden="1" customHeight="1" outlineLevel="1">
      <c r="A17" s="13" t="str">
        <f>"      "&amp;Labels!C86</f>
        <v xml:space="preserve">      Subtotal</v>
      </c>
      <c r="B17" s="20">
        <f>B16</f>
        <v>0</v>
      </c>
      <c r="C17" s="13" t="str">
        <f>"      "&amp;Labels!C86</f>
        <v xml:space="preserve">      Subtotal</v>
      </c>
      <c r="D17" s="20">
        <f>D16</f>
        <v>0</v>
      </c>
      <c r="E17" s="13" t="str">
        <f>"      "&amp;Labels!C86</f>
        <v xml:space="preserve">      Subtotal</v>
      </c>
      <c r="F17" s="20">
        <f>'(Other Computations)'!D269</f>
        <v>0</v>
      </c>
      <c r="G17" s="13" t="str">
        <f>"      "&amp;Labels!C86</f>
        <v xml:space="preserve">      Subtotal</v>
      </c>
      <c r="H17" s="68">
        <f>'(Other Computations)'!D301</f>
        <v>0</v>
      </c>
      <c r="I17" s="13" t="str">
        <f>"      "&amp;Labels!C86</f>
        <v xml:space="preserve">      Subtotal</v>
      </c>
      <c r="J17" s="35">
        <f>IF(D195+0*0=0,0,('(Other Computations)'!D269+SUM(B295:D295))/(D195+0*0))</f>
        <v>0</v>
      </c>
    </row>
    <row r="18" spans="1:10" ht="12.75" hidden="1" customHeight="1" outlineLevel="1">
      <c r="A18" s="13" t="str">
        <f>"   "&amp;Labels!B88</f>
        <v xml:space="preserve">   Common</v>
      </c>
      <c r="B18" s="20">
        <f>D196</f>
        <v>100000</v>
      </c>
      <c r="C18" s="13" t="str">
        <f>"   "&amp;Labels!B88</f>
        <v xml:space="preserve">   Common</v>
      </c>
      <c r="D18" s="20">
        <f>SUM('(Other Computations)'!B242:D242)</f>
        <v>0</v>
      </c>
      <c r="E18" s="13" t="str">
        <f>"   "&amp;Labels!B88</f>
        <v xml:space="preserve">   Common</v>
      </c>
      <c r="F18" s="20">
        <f>'(Other Computations)'!D270</f>
        <v>7220000</v>
      </c>
      <c r="G18" s="13" t="str">
        <f>"   "&amp;Labels!B88</f>
        <v xml:space="preserve">   Common</v>
      </c>
      <c r="H18" s="68">
        <f>'(Other Computations)'!D302</f>
        <v>1</v>
      </c>
      <c r="I18" s="13" t="str">
        <f>"   "&amp;Labels!B88</f>
        <v xml:space="preserve">   Common</v>
      </c>
      <c r="J18" s="35">
        <f>IF(D196+0*0=0,0,('(Other Computations)'!D270+SUM(B296:D296))/(D196+0*0))</f>
        <v>72.2</v>
      </c>
    </row>
    <row r="19" spans="1:10" ht="12.75" hidden="1" customHeight="1" outlineLevel="1">
      <c r="A19" s="13" t="str">
        <f>"   "&amp;Labels!B89</f>
        <v xml:space="preserve">   Warrant</v>
      </c>
      <c r="B19" s="20">
        <f>D197</f>
        <v>0</v>
      </c>
      <c r="C19" s="13" t="str">
        <f>"   "&amp;Labels!B89</f>
        <v xml:space="preserve">   Warrant</v>
      </c>
      <c r="D19" s="20">
        <f>SUM('(Other Computations)'!B243:D243)</f>
        <v>0</v>
      </c>
      <c r="E19" s="13" t="str">
        <f>"   "&amp;Labels!B89</f>
        <v xml:space="preserve">   Warrant</v>
      </c>
      <c r="F19" s="20">
        <f>'(Other Computations)'!D271</f>
        <v>0</v>
      </c>
      <c r="G19" s="13" t="str">
        <f>"   "&amp;Labels!B89</f>
        <v xml:space="preserve">   Warrant</v>
      </c>
      <c r="H19" s="68">
        <f>'(Other Computations)'!D303</f>
        <v>0</v>
      </c>
      <c r="I19" s="13" t="str">
        <f>"   "&amp;Labels!B89</f>
        <v xml:space="preserve">   Warrant</v>
      </c>
      <c r="J19" s="35">
        <f>IF(D197+0*0=0,0,('(Other Computations)'!D271+SUM(B297:D297))/(D197+0*0))</f>
        <v>0</v>
      </c>
    </row>
    <row r="20" spans="1:10" ht="12.75" hidden="1" customHeight="1" outlineLevel="1">
      <c r="A20" s="13" t="str">
        <f>"   "&amp;Labels!B90</f>
        <v xml:space="preserve">   Option</v>
      </c>
      <c r="B20" s="20"/>
      <c r="C20" s="13" t="str">
        <f>"   "&amp;Labels!B90</f>
        <v xml:space="preserve">   Option</v>
      </c>
      <c r="D20" s="20"/>
      <c r="E20" s="13" t="str">
        <f>"   "&amp;Labels!B90</f>
        <v xml:space="preserve">   Option</v>
      </c>
      <c r="F20" s="20"/>
      <c r="G20" s="13" t="str">
        <f>"   "&amp;Labels!B90</f>
        <v xml:space="preserve">   Option</v>
      </c>
      <c r="H20" s="68"/>
      <c r="I20" s="13" t="str">
        <f>"   "&amp;Labels!B90</f>
        <v xml:space="preserve">   Option</v>
      </c>
      <c r="J20" s="35"/>
    </row>
    <row r="21" spans="1:10" ht="12.75" hidden="1" customHeight="1" outlineLevel="1">
      <c r="A21" s="69" t="str">
        <f>"      "&amp;Labels!B91</f>
        <v xml:space="preserve">      Series B</v>
      </c>
      <c r="B21" s="20">
        <f>D199</f>
        <v>0</v>
      </c>
      <c r="C21" s="69" t="str">
        <f>"      "&amp;Labels!B91</f>
        <v xml:space="preserve">      Series B</v>
      </c>
      <c r="D21" s="20">
        <f>SUM('(Other Computations)'!B245:D245)</f>
        <v>0</v>
      </c>
      <c r="E21" s="69" t="str">
        <f>"      "&amp;Labels!B91</f>
        <v xml:space="preserve">      Series B</v>
      </c>
      <c r="F21" s="20">
        <f>'(Other Computations)'!D273</f>
        <v>0</v>
      </c>
      <c r="G21" s="69" t="str">
        <f>"      "&amp;Labels!B91</f>
        <v xml:space="preserve">      Series B</v>
      </c>
      <c r="H21" s="68">
        <f>'(Other Computations)'!D305</f>
        <v>0</v>
      </c>
      <c r="I21" s="69" t="str">
        <f>"      "&amp;Labels!B91</f>
        <v xml:space="preserve">      Series B</v>
      </c>
      <c r="J21" s="35">
        <f>IF(D199+0*0=0,0,('(Other Computations)'!D273+SUM(B299:D299))/(D199+0*0))</f>
        <v>0</v>
      </c>
    </row>
    <row r="22" spans="1:10" ht="12.75" hidden="1" customHeight="1" outlineLevel="1">
      <c r="A22" s="69" t="str">
        <f>"      "&amp;Labels!B92</f>
        <v xml:space="preserve">      Series A</v>
      </c>
      <c r="B22" s="20">
        <f>D200</f>
        <v>0</v>
      </c>
      <c r="C22" s="69" t="str">
        <f>"      "&amp;Labels!B92</f>
        <v xml:space="preserve">      Series A</v>
      </c>
      <c r="D22" s="20">
        <f>SUM('(Other Computations)'!B246:D246)</f>
        <v>0</v>
      </c>
      <c r="E22" s="69" t="str">
        <f>"      "&amp;Labels!B92</f>
        <v xml:space="preserve">      Series A</v>
      </c>
      <c r="F22" s="20">
        <f>'(Other Computations)'!D274</f>
        <v>0</v>
      </c>
      <c r="G22" s="69" t="str">
        <f>"      "&amp;Labels!B92</f>
        <v xml:space="preserve">      Series A</v>
      </c>
      <c r="H22" s="68">
        <f>'(Other Computations)'!D306</f>
        <v>0</v>
      </c>
      <c r="I22" s="69" t="str">
        <f>"      "&amp;Labels!B92</f>
        <v xml:space="preserve">      Series A</v>
      </c>
      <c r="J22" s="35">
        <f>IF(D200+0*0=0,0,('(Other Computations)'!D274+SUM(B300:D300))/(D200+0*0))</f>
        <v>0</v>
      </c>
    </row>
    <row r="23" spans="1:10" ht="12.75" hidden="1" customHeight="1" outlineLevel="1">
      <c r="A23" s="13" t="str">
        <f>"      "&amp;Labels!C90</f>
        <v xml:space="preserve">      Subtotal</v>
      </c>
      <c r="B23" s="20">
        <f>SUM(B21:B22)</f>
        <v>0</v>
      </c>
      <c r="C23" s="13" t="str">
        <f>"      "&amp;Labels!C90</f>
        <v xml:space="preserve">      Subtotal</v>
      </c>
      <c r="D23" s="20">
        <f>SUM(D21:D22)</f>
        <v>0</v>
      </c>
      <c r="E23" s="13" t="str">
        <f>"      "&amp;Labels!C90</f>
        <v xml:space="preserve">      Subtotal</v>
      </c>
      <c r="F23" s="20">
        <f>'(Other Computations)'!D275</f>
        <v>0</v>
      </c>
      <c r="G23" s="13" t="str">
        <f>"      "&amp;Labels!C90</f>
        <v xml:space="preserve">      Subtotal</v>
      </c>
      <c r="H23" s="68">
        <f>'(Other Computations)'!D307</f>
        <v>0</v>
      </c>
      <c r="I23" s="13" t="str">
        <f>"      "&amp;Labels!C90</f>
        <v xml:space="preserve">      Subtotal</v>
      </c>
      <c r="J23" s="35">
        <f>IF(D201+0*0=0,0,('(Other Computations)'!D275+SUM(B301:D301))/(D201+0*0))</f>
        <v>0</v>
      </c>
    </row>
    <row r="24" spans="1:10" ht="12.75" hidden="1" customHeight="1" outlineLevel="1">
      <c r="A24" s="21" t="str">
        <f>"   "&amp;Labels!C82</f>
        <v xml:space="preserve">   Total</v>
      </c>
      <c r="B24" s="23">
        <f>SUM(B14,B17:B19,B23)</f>
        <v>100000</v>
      </c>
      <c r="C24" s="21" t="str">
        <f>"   "&amp;Labels!C82</f>
        <v xml:space="preserve">   Total</v>
      </c>
      <c r="D24" s="23">
        <f>SUM(D14,D17:D19,D23)</f>
        <v>0</v>
      </c>
      <c r="E24" s="21" t="str">
        <f>"   "&amp;Labels!C82</f>
        <v xml:space="preserve">   Total</v>
      </c>
      <c r="F24" s="23">
        <f>'(Other Computations)'!D276</f>
        <v>7220000</v>
      </c>
      <c r="G24" s="21" t="str">
        <f>"   "&amp;Labels!C82</f>
        <v xml:space="preserve">   Total</v>
      </c>
      <c r="H24" s="70">
        <f>'(Other Computations)'!D308</f>
        <v>1</v>
      </c>
      <c r="I24" s="21" t="str">
        <f>"   "&amp;Labels!C82</f>
        <v xml:space="preserve">   Total</v>
      </c>
      <c r="J24" s="71">
        <f>IF(D202+0*0=0,0,('(Other Computations)'!D276+SUM(B302:D302))/(D202+0*0))</f>
        <v>72.2</v>
      </c>
    </row>
    <row r="25" spans="1:10" ht="12.75" hidden="1" customHeight="1" outlineLevel="1"/>
    <row r="26" spans="1:10" ht="12.75" hidden="1" customHeight="1" outlineLevel="1"/>
    <row r="27" spans="1:10" ht="12.75" hidden="1" customHeight="1" outlineLevel="1">
      <c r="A27" s="216" t="str">
        <f>"Measures of Return"</f>
        <v>Measures of Return</v>
      </c>
      <c r="B27" s="216"/>
    </row>
    <row r="28" spans="1:10" ht="12.75" hidden="1" customHeight="1" outlineLevel="1">
      <c r="A28" s="216" t="str">
        <f>""</f>
        <v/>
      </c>
      <c r="B28" s="216"/>
    </row>
    <row r="29" spans="1:10" ht="12.75" hidden="1" customHeight="1" outlineLevel="1">
      <c r="A29" s="11" t="str">
        <f>Labels!B32</f>
        <v>IRR (Yr)</v>
      </c>
      <c r="B29" s="24"/>
      <c r="C29" s="11" t="str">
        <f>Labels!B36</f>
        <v>Net Present Value</v>
      </c>
      <c r="D29" s="12"/>
      <c r="E29" s="11" t="str">
        <f>Labels!B14</f>
        <v>Discount Rate (Yr)</v>
      </c>
      <c r="F29" s="24"/>
    </row>
    <row r="30" spans="1:10" ht="12.75" hidden="1" customHeight="1" outlineLevel="1">
      <c r="A30" s="13" t="str">
        <f>"   "&amp;Labels!B83</f>
        <v xml:space="preserve">   Conv Note</v>
      </c>
      <c r="B30" s="45"/>
      <c r="C30" s="13" t="str">
        <f>"   "&amp;Labels!B83</f>
        <v xml:space="preserve">   Conv Note</v>
      </c>
      <c r="D30" s="20"/>
      <c r="E30" s="13" t="str">
        <f>"   "&amp;Labels!B83</f>
        <v xml:space="preserve">   Conv Note</v>
      </c>
      <c r="F30" s="45"/>
    </row>
    <row r="31" spans="1:10" ht="12.75" hidden="1" customHeight="1" outlineLevel="1">
      <c r="A31" s="69" t="str">
        <f>"      "&amp;Labels!B84</f>
        <v xml:space="preserve">      Series B</v>
      </c>
      <c r="B31" s="45" t="e">
        <f>XIRR('(Other Computations)'!B312:D312,B209:D209,Inputs!E56)</f>
        <v>#NUM!</v>
      </c>
      <c r="C31" s="69" t="str">
        <f>"      "&amp;Labels!B84</f>
        <v xml:space="preserve">      Series B</v>
      </c>
      <c r="D31" s="20">
        <f>(-XNPV(Inputs!B56,'(Other Computations)'!B312:D312,B209:D209))</f>
        <v>0</v>
      </c>
      <c r="E31" s="69" t="str">
        <f>"      "&amp;Labels!B84</f>
        <v xml:space="preserve">      Series B</v>
      </c>
      <c r="F31" s="45">
        <f>Inputs!B56</f>
        <v>0.3</v>
      </c>
    </row>
    <row r="32" spans="1:10" ht="12.75" hidden="1" customHeight="1" outlineLevel="1">
      <c r="A32" s="69" t="str">
        <f>"      "&amp;Labels!B85</f>
        <v xml:space="preserve">      Series A</v>
      </c>
      <c r="B32" s="45" t="e">
        <f>XIRR('(Other Computations)'!B313:D313,B209:D209,Inputs!E57)</f>
        <v>#NUM!</v>
      </c>
      <c r="C32" s="69" t="str">
        <f>"      "&amp;Labels!B85</f>
        <v xml:space="preserve">      Series A</v>
      </c>
      <c r="D32" s="20">
        <f>(-XNPV(Inputs!B57,'(Other Computations)'!B313:D313,B209:D209))</f>
        <v>0</v>
      </c>
      <c r="E32" s="69" t="str">
        <f>"      "&amp;Labels!B85</f>
        <v xml:space="preserve">      Series A</v>
      </c>
      <c r="F32" s="45">
        <f>Inputs!B57</f>
        <v>0.3</v>
      </c>
    </row>
    <row r="33" spans="1:6" ht="12.75" hidden="1" customHeight="1" outlineLevel="1">
      <c r="A33" s="13" t="str">
        <f>"      "&amp;Labels!C83</f>
        <v xml:space="preserve">      Subtotal</v>
      </c>
      <c r="B33" s="45" t="e">
        <f>XIRR('(Other Computations)'!B314:D314,B209:D209,Inputs!E58)</f>
        <v>#NUM!</v>
      </c>
      <c r="C33" s="13" t="str">
        <f>"      "&amp;Labels!C83</f>
        <v xml:space="preserve">      Subtotal</v>
      </c>
      <c r="D33" s="20">
        <f>SUM(D31:D32)</f>
        <v>0</v>
      </c>
      <c r="E33" s="13" t="str">
        <f>"      "&amp;Labels!C83</f>
        <v xml:space="preserve">      Subtotal</v>
      </c>
      <c r="F33" s="45" t="str">
        <f>Inputs!B58</f>
        <v xml:space="preserve"> </v>
      </c>
    </row>
    <row r="34" spans="1:6" ht="12.75" hidden="1" customHeight="1" outlineLevel="1">
      <c r="A34" s="13" t="str">
        <f>"   "&amp;Labels!B86</f>
        <v xml:space="preserve">   Preferred</v>
      </c>
      <c r="B34" s="45"/>
      <c r="C34" s="13" t="str">
        <f>"   "&amp;Labels!B86</f>
        <v xml:space="preserve">   Preferred</v>
      </c>
      <c r="D34" s="20"/>
      <c r="E34" s="13" t="str">
        <f>"   "&amp;Labels!B86</f>
        <v xml:space="preserve">   Preferred</v>
      </c>
      <c r="F34" s="45"/>
    </row>
    <row r="35" spans="1:6" ht="12.75" hidden="1" customHeight="1" outlineLevel="1">
      <c r="A35" s="69" t="str">
        <f>"      "&amp;Labels!B87</f>
        <v xml:space="preserve">      Series A</v>
      </c>
      <c r="B35" s="45" t="e">
        <f>XIRR('(Other Computations)'!B316:D316,B209:D209,Boneyard!B84)</f>
        <v>#NUM!</v>
      </c>
      <c r="C35" s="69" t="str">
        <f>"      "&amp;Labels!B87</f>
        <v xml:space="preserve">      Series A</v>
      </c>
      <c r="D35" s="20">
        <f>(-XNPV(Inputs!B86,'(Other Computations)'!B316:D316,B209:D209))</f>
        <v>0</v>
      </c>
      <c r="E35" s="69" t="str">
        <f>"      "&amp;Labels!B87</f>
        <v xml:space="preserve">      Series A</v>
      </c>
      <c r="F35" s="45">
        <f>Inputs!B86</f>
        <v>0.3</v>
      </c>
    </row>
    <row r="36" spans="1:6" ht="12.75" hidden="1" customHeight="1" outlineLevel="1">
      <c r="A36" s="13" t="str">
        <f>"      "&amp;Labels!C86</f>
        <v xml:space="preserve">      Subtotal</v>
      </c>
      <c r="B36" s="45" t="e">
        <f>XIRR('(Other Computations)'!B317:D317,B209:D209,Boneyard!B85)</f>
        <v>#NUM!</v>
      </c>
      <c r="C36" s="13" t="str">
        <f>"      "&amp;Labels!C86</f>
        <v xml:space="preserve">      Subtotal</v>
      </c>
      <c r="D36" s="20">
        <f>D35</f>
        <v>0</v>
      </c>
      <c r="E36" s="13" t="str">
        <f>"      "&amp;Labels!C86</f>
        <v xml:space="preserve">      Subtotal</v>
      </c>
      <c r="F36" s="45" t="str">
        <f>Inputs!B87</f>
        <v xml:space="preserve"> </v>
      </c>
    </row>
    <row r="37" spans="1:6" ht="12.75" hidden="1" customHeight="1" outlineLevel="1">
      <c r="A37" s="13" t="str">
        <f>"   "&amp;Labels!B88</f>
        <v xml:space="preserve">   Common</v>
      </c>
      <c r="B37" s="45">
        <f>XIRR('(Other Computations)'!B318:D318,B209:D209,Inputs!E102)</f>
        <v>9.2916896939277649</v>
      </c>
      <c r="C37" s="13" t="str">
        <f>"   "&amp;Labels!B88</f>
        <v xml:space="preserve">   Common</v>
      </c>
      <c r="D37" s="20">
        <f>(-XNPV(Inputs!B102,'(Other Computations)'!B318:D318,B209:D209))</f>
        <v>4360472.9196698265</v>
      </c>
      <c r="E37" s="13" t="str">
        <f>"   "&amp;Labels!B88</f>
        <v xml:space="preserve">   Common</v>
      </c>
      <c r="F37" s="45">
        <f>Inputs!B102</f>
        <v>0.3</v>
      </c>
    </row>
    <row r="38" spans="1:6" ht="12.75" hidden="1" customHeight="1" outlineLevel="1">
      <c r="A38" s="13" t="str">
        <f>"   "&amp;Labels!B89</f>
        <v xml:space="preserve">   Warrant</v>
      </c>
      <c r="B38" s="45" t="e">
        <f>XIRR('(Other Computations)'!B319:D319,B209:D209,Boneyard!B87)</f>
        <v>#NUM!</v>
      </c>
      <c r="C38" s="13" t="str">
        <f>"   "&amp;Labels!B89</f>
        <v xml:space="preserve">   Warrant</v>
      </c>
      <c r="D38" s="20">
        <f>(-XNPV(F38,'(Other Computations)'!B319:D319,B209:D209))</f>
        <v>0</v>
      </c>
      <c r="E38" s="13" t="str">
        <f>"   "&amp;Labels!B89</f>
        <v xml:space="preserve">   Warrant</v>
      </c>
      <c r="F38" s="26">
        <f>0.3</f>
        <v>0.3</v>
      </c>
    </row>
    <row r="39" spans="1:6" ht="12.75" hidden="1" customHeight="1" outlineLevel="1">
      <c r="A39" s="13" t="str">
        <f>"   "&amp;Labels!B90</f>
        <v xml:space="preserve">   Option</v>
      </c>
      <c r="B39" s="45"/>
      <c r="C39" s="13" t="str">
        <f>"   "&amp;Labels!B90</f>
        <v xml:space="preserve">   Option</v>
      </c>
      <c r="D39" s="20"/>
      <c r="E39" s="13" t="str">
        <f>"   "&amp;Labels!B90</f>
        <v xml:space="preserve">   Option</v>
      </c>
      <c r="F39" s="45"/>
    </row>
    <row r="40" spans="1:6" ht="12.75" hidden="1" customHeight="1" outlineLevel="1">
      <c r="A40" s="69" t="str">
        <f>"      "&amp;Labels!B91</f>
        <v xml:space="preserve">      Series B</v>
      </c>
      <c r="B40" s="45" t="e">
        <f>XIRR('(Other Computations)'!B321:D321,B209:D209,Inputs!E136)</f>
        <v>#NUM!</v>
      </c>
      <c r="C40" s="69" t="str">
        <f>"      "&amp;Labels!B91</f>
        <v xml:space="preserve">      Series B</v>
      </c>
      <c r="D40" s="20">
        <f>(-XNPV(Inputs!B136,'(Other Computations)'!B321:D321,B209:D209))</f>
        <v>0</v>
      </c>
      <c r="E40" s="69" t="str">
        <f>"      "&amp;Labels!B91</f>
        <v xml:space="preserve">      Series B</v>
      </c>
      <c r="F40" s="45">
        <f>Inputs!B136</f>
        <v>0.3</v>
      </c>
    </row>
    <row r="41" spans="1:6" ht="12.75" hidden="1" customHeight="1" outlineLevel="1">
      <c r="A41" s="69" t="str">
        <f>"      "&amp;Labels!B92</f>
        <v xml:space="preserve">      Series A</v>
      </c>
      <c r="B41" s="45" t="e">
        <f>XIRR('(Other Computations)'!B322:D322,B209:D209,Inputs!E137)</f>
        <v>#NUM!</v>
      </c>
      <c r="C41" s="69" t="str">
        <f>"      "&amp;Labels!B92</f>
        <v xml:space="preserve">      Series A</v>
      </c>
      <c r="D41" s="20">
        <f>(-XNPV(Inputs!B137,'(Other Computations)'!B322:D322,B209:D209))</f>
        <v>0</v>
      </c>
      <c r="E41" s="69" t="str">
        <f>"      "&amp;Labels!B92</f>
        <v xml:space="preserve">      Series A</v>
      </c>
      <c r="F41" s="45">
        <f>Inputs!B137</f>
        <v>0.3</v>
      </c>
    </row>
    <row r="42" spans="1:6" ht="12.75" hidden="1" customHeight="1" outlineLevel="1">
      <c r="A42" s="13" t="str">
        <f>"      "&amp;Labels!C90</f>
        <v xml:space="preserve">      Subtotal</v>
      </c>
      <c r="B42" s="45" t="e">
        <f>XIRR('(Other Computations)'!B323:D323,B209:D209,Inputs!E138)</f>
        <v>#NUM!</v>
      </c>
      <c r="C42" s="13" t="str">
        <f>"      "&amp;Labels!C90</f>
        <v xml:space="preserve">      Subtotal</v>
      </c>
      <c r="D42" s="20">
        <f>SUM(D40:D41)</f>
        <v>0</v>
      </c>
      <c r="E42" s="13" t="str">
        <f>"      "&amp;Labels!C90</f>
        <v xml:space="preserve">      Subtotal</v>
      </c>
      <c r="F42" s="45" t="str">
        <f>Inputs!B138</f>
        <v xml:space="preserve"> </v>
      </c>
    </row>
    <row r="43" spans="1:6" ht="12.75" hidden="1" customHeight="1" outlineLevel="1">
      <c r="A43" s="21" t="str">
        <f>"   "&amp;Labels!C82</f>
        <v xml:space="preserve">   Total</v>
      </c>
      <c r="B43" s="39">
        <f>XIRR('(Other Computations)'!B324:D324,B209:D209,Boneyard!B92)</f>
        <v>9.2916896939277649</v>
      </c>
      <c r="C43" s="21" t="str">
        <f>"   "&amp;Labels!C82</f>
        <v xml:space="preserve">   Total</v>
      </c>
      <c r="D43" s="23">
        <f>SUM(D33,D36:D38,D42)</f>
        <v>4360472.9196698265</v>
      </c>
      <c r="E43" s="21" t="str">
        <f>"   "&amp;Labels!C82</f>
        <v xml:space="preserve">   Total</v>
      </c>
      <c r="F43" s="39" t="str">
        <f>" "</f>
        <v xml:space="preserve"> </v>
      </c>
    </row>
    <row r="44" spans="1:6" ht="12.75" hidden="1" customHeight="1" outlineLevel="1"/>
    <row r="45" spans="1:6" ht="12.75" hidden="1" customHeight="1" outlineLevel="1" collapsed="1"/>
    <row r="46" spans="1:6" ht="12.75" customHeight="1" collapsed="1"/>
    <row r="47" spans="1:6" ht="12.75" customHeight="1" collapsed="1">
      <c r="A47" s="215" t="str">
        <f>"Investment by Origin"</f>
        <v>Investment by Origin</v>
      </c>
      <c r="B47" s="215"/>
    </row>
    <row r="48" spans="1:6" ht="12.75" hidden="1" customHeight="1" outlineLevel="1">
      <c r="A48" s="1" t="str">
        <f>" "</f>
        <v xml:space="preserve"> </v>
      </c>
    </row>
    <row r="49" spans="1:5" ht="12.75" hidden="1" customHeight="1" outlineLevel="1">
      <c r="B49" s="6" t="str">
        <f>Labels!B78</f>
        <v>Seed</v>
      </c>
      <c r="C49" s="7" t="str">
        <f>Labels!B79</f>
        <v>Round A</v>
      </c>
      <c r="D49" s="7" t="str">
        <f>Labels!B80</f>
        <v>Exit</v>
      </c>
      <c r="E49" s="17" t="str">
        <f>Labels!C77</f>
        <v>Total</v>
      </c>
    </row>
    <row r="50" spans="1:5" ht="12.75" hidden="1" customHeight="1" outlineLevel="1">
      <c r="A50" s="11" t="str">
        <f>Labels!B26</f>
        <v>Investment by Origin</v>
      </c>
      <c r="B50" s="18"/>
      <c r="C50" s="18"/>
      <c r="D50" s="18"/>
      <c r="E50" s="12"/>
    </row>
    <row r="51" spans="1:5" ht="12.75" hidden="1" customHeight="1" outlineLevel="1">
      <c r="A51" s="13" t="str">
        <f>"   "&amp;Labels!B71</f>
        <v xml:space="preserve">   Start</v>
      </c>
      <c r="B51" s="72"/>
      <c r="C51" s="72"/>
      <c r="D51" s="72"/>
      <c r="E51" s="20"/>
    </row>
    <row r="52" spans="1:5" ht="12.75" hidden="1" customHeight="1" outlineLevel="1">
      <c r="A52" s="69" t="str">
        <f>"      "&amp;Labels!B83</f>
        <v xml:space="preserve">      Conv Note</v>
      </c>
      <c r="B52" s="73"/>
      <c r="C52" s="73"/>
      <c r="D52" s="73"/>
      <c r="E52" s="20"/>
    </row>
    <row r="53" spans="1:5" ht="12.75" hidden="1" customHeight="1" outlineLevel="1">
      <c r="A53" s="69" t="str">
        <f>"         "&amp;Labels!B84</f>
        <v xml:space="preserve">         Series B</v>
      </c>
      <c r="B53" s="74">
        <f>0+B290</f>
        <v>0</v>
      </c>
      <c r="C53" s="74">
        <f>B113+C290</f>
        <v>0</v>
      </c>
      <c r="D53" s="74">
        <f>C113+D290</f>
        <v>0</v>
      </c>
      <c r="E53" s="20">
        <f>SUM(B53:D53)</f>
        <v>0</v>
      </c>
    </row>
    <row r="54" spans="1:5" ht="12.75" hidden="1" customHeight="1" outlineLevel="1">
      <c r="A54" s="69" t="str">
        <f>"         "&amp;Labels!B85</f>
        <v xml:space="preserve">         Series A</v>
      </c>
      <c r="B54" s="74">
        <f>0+B291</f>
        <v>0</v>
      </c>
      <c r="C54" s="74">
        <f>B114+C291</f>
        <v>0</v>
      </c>
      <c r="D54" s="74">
        <f>C114+D291</f>
        <v>0</v>
      </c>
      <c r="E54" s="20">
        <f>SUM(B54:D54)</f>
        <v>0</v>
      </c>
    </row>
    <row r="55" spans="1:5" ht="12.75" hidden="1" customHeight="1" outlineLevel="1">
      <c r="A55" s="69" t="str">
        <f>"         "&amp;Labels!C83</f>
        <v xml:space="preserve">         Subtotal</v>
      </c>
      <c r="B55" s="73">
        <f>SUM(B53:B54)</f>
        <v>0</v>
      </c>
      <c r="C55" s="73">
        <f>SUM(C53:C54)</f>
        <v>0</v>
      </c>
      <c r="D55" s="73">
        <f>SUM(D53:D54)</f>
        <v>0</v>
      </c>
      <c r="E55" s="20">
        <f>SUM(E53:E54)</f>
        <v>0</v>
      </c>
    </row>
    <row r="56" spans="1:5" ht="12.75" hidden="1" customHeight="1" outlineLevel="1">
      <c r="A56" s="69" t="str">
        <f>"      "&amp;Labels!B86</f>
        <v xml:space="preserve">      Preferred</v>
      </c>
      <c r="B56" s="73"/>
      <c r="C56" s="73"/>
      <c r="D56" s="73"/>
      <c r="E56" s="20"/>
    </row>
    <row r="57" spans="1:5" ht="12.75" hidden="1" customHeight="1" outlineLevel="1">
      <c r="A57" s="69" t="str">
        <f>"         "&amp;Labels!B87</f>
        <v xml:space="preserve">         Series A</v>
      </c>
      <c r="B57" s="74">
        <f>0+B294</f>
        <v>0</v>
      </c>
      <c r="C57" s="74">
        <f>B117+C294</f>
        <v>0</v>
      </c>
      <c r="D57" s="74">
        <f>C117+D294</f>
        <v>0</v>
      </c>
      <c r="E57" s="20">
        <f>SUM(B57:D57)</f>
        <v>0</v>
      </c>
    </row>
    <row r="58" spans="1:5" ht="12.75" hidden="1" customHeight="1" outlineLevel="1">
      <c r="A58" s="69" t="str">
        <f>"         "&amp;Labels!C86</f>
        <v xml:space="preserve">         Subtotal</v>
      </c>
      <c r="B58" s="73">
        <f>B57</f>
        <v>0</v>
      </c>
      <c r="C58" s="73">
        <f>C57</f>
        <v>0</v>
      </c>
      <c r="D58" s="73">
        <f>D57</f>
        <v>0</v>
      </c>
      <c r="E58" s="20">
        <f>E57</f>
        <v>0</v>
      </c>
    </row>
    <row r="59" spans="1:5" ht="12.75" hidden="1" customHeight="1" outlineLevel="1">
      <c r="A59" s="69" t="str">
        <f>"      "&amp;Labels!B88</f>
        <v xml:space="preserve">      Common</v>
      </c>
      <c r="B59" s="73">
        <f>0+B296</f>
        <v>0</v>
      </c>
      <c r="C59" s="73">
        <f>B119+C296</f>
        <v>100000</v>
      </c>
      <c r="D59" s="73">
        <f>C119+D296</f>
        <v>100000</v>
      </c>
      <c r="E59" s="20">
        <f>SUM(B59:D59)</f>
        <v>200000</v>
      </c>
    </row>
    <row r="60" spans="1:5" ht="12.75" hidden="1" customHeight="1" outlineLevel="1">
      <c r="A60" s="69" t="str">
        <f>"      "&amp;Labels!B89</f>
        <v xml:space="preserve">      Warrant</v>
      </c>
      <c r="B60" s="73">
        <f>0+B297</f>
        <v>0</v>
      </c>
      <c r="C60" s="73">
        <f>B120+C297</f>
        <v>0</v>
      </c>
      <c r="D60" s="73">
        <f>C120+D297</f>
        <v>0</v>
      </c>
      <c r="E60" s="20">
        <f>SUM(B60:D60)</f>
        <v>0</v>
      </c>
    </row>
    <row r="61" spans="1:5" ht="12.75" hidden="1" customHeight="1" outlineLevel="1">
      <c r="A61" s="69" t="str">
        <f>"      "&amp;Labels!B90</f>
        <v xml:space="preserve">      Option</v>
      </c>
      <c r="B61" s="73"/>
      <c r="C61" s="73"/>
      <c r="D61" s="73"/>
      <c r="E61" s="20"/>
    </row>
    <row r="62" spans="1:5" ht="12.75" hidden="1" customHeight="1" outlineLevel="1">
      <c r="A62" s="69" t="str">
        <f>"         "&amp;Labels!B91</f>
        <v xml:space="preserve">         Series B</v>
      </c>
      <c r="B62" s="74">
        <f>0+B299</f>
        <v>0</v>
      </c>
      <c r="C62" s="74">
        <f>B122+C299</f>
        <v>0</v>
      </c>
      <c r="D62" s="74">
        <f>C122+D299</f>
        <v>0</v>
      </c>
      <c r="E62" s="20">
        <f>SUM(B62:D62)</f>
        <v>0</v>
      </c>
    </row>
    <row r="63" spans="1:5" ht="12.75" hidden="1" customHeight="1" outlineLevel="1">
      <c r="A63" s="69" t="str">
        <f>"         "&amp;Labels!B92</f>
        <v xml:space="preserve">         Series A</v>
      </c>
      <c r="B63" s="74">
        <f>0+B300</f>
        <v>0</v>
      </c>
      <c r="C63" s="74">
        <f>B123+C300</f>
        <v>0</v>
      </c>
      <c r="D63" s="74">
        <f>C123+D300</f>
        <v>0</v>
      </c>
      <c r="E63" s="20">
        <f>SUM(B63:D63)</f>
        <v>0</v>
      </c>
    </row>
    <row r="64" spans="1:5" ht="12.75" hidden="1" customHeight="1" outlineLevel="1">
      <c r="A64" s="69" t="str">
        <f>"         "&amp;Labels!C90</f>
        <v xml:space="preserve">         Subtotal</v>
      </c>
      <c r="B64" s="73">
        <f>SUM(B62:B63)</f>
        <v>0</v>
      </c>
      <c r="C64" s="73">
        <f>SUM(C62:C63)</f>
        <v>0</v>
      </c>
      <c r="D64" s="73">
        <f>SUM(D62:D63)</f>
        <v>0</v>
      </c>
      <c r="E64" s="20">
        <f>SUM(E62:E63)</f>
        <v>0</v>
      </c>
    </row>
    <row r="65" spans="1:5" ht="12.75" hidden="1" customHeight="1" outlineLevel="1">
      <c r="A65" s="13" t="str">
        <f>"      "&amp;Labels!C82</f>
        <v xml:space="preserve">      Total</v>
      </c>
      <c r="B65" s="72">
        <f>SUM(B55,B58:B60,B64)</f>
        <v>0</v>
      </c>
      <c r="C65" s="72">
        <f>SUM(C55,C58:C60,C64)</f>
        <v>100000</v>
      </c>
      <c r="D65" s="72">
        <f>SUM(D55,D58:D60,D64)</f>
        <v>100000</v>
      </c>
      <c r="E65" s="20">
        <f>SUM(E55,E58:E60,E64)</f>
        <v>200000</v>
      </c>
    </row>
    <row r="66" spans="1:5" ht="12.75" hidden="1" customHeight="1" outlineLevel="1">
      <c r="A66" s="13" t="str">
        <f>"   "&amp;Labels!B72</f>
        <v xml:space="preserve">   New Sales</v>
      </c>
      <c r="B66" s="72"/>
      <c r="C66" s="72"/>
      <c r="D66" s="72"/>
      <c r="E66" s="20"/>
    </row>
    <row r="67" spans="1:5" ht="12.75" hidden="1" customHeight="1" outlineLevel="1">
      <c r="A67" s="69" t="str">
        <f>"      "&amp;Labels!B83</f>
        <v xml:space="preserve">      Conv Note</v>
      </c>
      <c r="B67" s="73"/>
      <c r="C67" s="73"/>
      <c r="D67" s="73"/>
      <c r="E67" s="20"/>
    </row>
    <row r="68" spans="1:5" ht="12.75" hidden="1" customHeight="1" outlineLevel="1">
      <c r="A68" s="69" t="str">
        <f>"         "&amp;Labels!B84</f>
        <v xml:space="preserve">         Series B</v>
      </c>
      <c r="B68" s="74">
        <f t="shared" ref="B68:D69" si="0">B229</f>
        <v>0</v>
      </c>
      <c r="C68" s="74">
        <f t="shared" si="0"/>
        <v>0</v>
      </c>
      <c r="D68" s="74">
        <f t="shared" si="0"/>
        <v>0</v>
      </c>
      <c r="E68" s="20">
        <f>SUM(B68:D68)</f>
        <v>0</v>
      </c>
    </row>
    <row r="69" spans="1:5" ht="12.75" hidden="1" customHeight="1" outlineLevel="1">
      <c r="A69" s="69" t="str">
        <f>"         "&amp;Labels!B85</f>
        <v xml:space="preserve">         Series A</v>
      </c>
      <c r="B69" s="74">
        <f t="shared" si="0"/>
        <v>0</v>
      </c>
      <c r="C69" s="74">
        <f t="shared" si="0"/>
        <v>0</v>
      </c>
      <c r="D69" s="74">
        <f t="shared" si="0"/>
        <v>0</v>
      </c>
      <c r="E69" s="20">
        <f>SUM(B69:D69)</f>
        <v>0</v>
      </c>
    </row>
    <row r="70" spans="1:5" ht="12.75" hidden="1" customHeight="1" outlineLevel="1">
      <c r="A70" s="69" t="str">
        <f>"         "&amp;Labels!C83</f>
        <v xml:space="preserve">         Subtotal</v>
      </c>
      <c r="B70" s="73">
        <f>SUM(B68:B69)</f>
        <v>0</v>
      </c>
      <c r="C70" s="73">
        <f>SUM(C68:C69)</f>
        <v>0</v>
      </c>
      <c r="D70" s="73">
        <f>SUM(D68:D69)</f>
        <v>0</v>
      </c>
      <c r="E70" s="20">
        <f>SUM(E68:E69)</f>
        <v>0</v>
      </c>
    </row>
    <row r="71" spans="1:5" ht="12.75" hidden="1" customHeight="1" outlineLevel="1">
      <c r="A71" s="69" t="str">
        <f>"      "&amp;Labels!B86</f>
        <v xml:space="preserve">      Preferred</v>
      </c>
      <c r="B71" s="73"/>
      <c r="C71" s="73"/>
      <c r="D71" s="73"/>
      <c r="E71" s="20"/>
    </row>
    <row r="72" spans="1:5" ht="12.75" hidden="1" customHeight="1" outlineLevel="1">
      <c r="A72" s="69" t="str">
        <f>"         "&amp;Labels!B87</f>
        <v xml:space="preserve">         Series A</v>
      </c>
      <c r="B72" s="74">
        <f>B233</f>
        <v>0</v>
      </c>
      <c r="C72" s="74">
        <f>C233</f>
        <v>0</v>
      </c>
      <c r="D72" s="74">
        <f>D233</f>
        <v>0</v>
      </c>
      <c r="E72" s="20">
        <f>SUM(B72:D72)</f>
        <v>0</v>
      </c>
    </row>
    <row r="73" spans="1:5" ht="12.75" hidden="1" customHeight="1" outlineLevel="1">
      <c r="A73" s="69" t="str">
        <f>"         "&amp;Labels!C86</f>
        <v xml:space="preserve">         Subtotal</v>
      </c>
      <c r="B73" s="73">
        <f>B72</f>
        <v>0</v>
      </c>
      <c r="C73" s="73">
        <f>C72</f>
        <v>0</v>
      </c>
      <c r="D73" s="73">
        <f>D72</f>
        <v>0</v>
      </c>
      <c r="E73" s="20">
        <f>E72</f>
        <v>0</v>
      </c>
    </row>
    <row r="74" spans="1:5" ht="12.75" hidden="1" customHeight="1" outlineLevel="1">
      <c r="A74" s="69" t="str">
        <f>"      "&amp;Labels!B88</f>
        <v xml:space="preserve">      Common</v>
      </c>
      <c r="B74" s="73">
        <f t="shared" ref="B74:D75" si="1">B235</f>
        <v>100000</v>
      </c>
      <c r="C74" s="73">
        <f t="shared" si="1"/>
        <v>0</v>
      </c>
      <c r="D74" s="73">
        <f t="shared" si="1"/>
        <v>0</v>
      </c>
      <c r="E74" s="20">
        <f>SUM(B74:D74)</f>
        <v>100000</v>
      </c>
    </row>
    <row r="75" spans="1:5" ht="12.75" hidden="1" customHeight="1" outlineLevel="1">
      <c r="A75" s="69" t="str">
        <f>"      "&amp;Labels!B89</f>
        <v xml:space="preserve">      Warrant</v>
      </c>
      <c r="B75" s="73">
        <f t="shared" si="1"/>
        <v>0</v>
      </c>
      <c r="C75" s="73">
        <f t="shared" si="1"/>
        <v>0</v>
      </c>
      <c r="D75" s="73">
        <f t="shared" si="1"/>
        <v>0</v>
      </c>
      <c r="E75" s="20">
        <f>SUM(B75:D75)</f>
        <v>0</v>
      </c>
    </row>
    <row r="76" spans="1:5" ht="12.75" hidden="1" customHeight="1" outlineLevel="1">
      <c r="A76" s="69" t="str">
        <f>"      "&amp;Labels!B90</f>
        <v xml:space="preserve">      Option</v>
      </c>
      <c r="B76" s="73"/>
      <c r="C76" s="73"/>
      <c r="D76" s="73"/>
      <c r="E76" s="20"/>
    </row>
    <row r="77" spans="1:5" ht="12.75" hidden="1" customHeight="1" outlineLevel="1">
      <c r="A77" s="69" t="str">
        <f>"         "&amp;Labels!B91</f>
        <v xml:space="preserve">         Series B</v>
      </c>
      <c r="B77" s="74">
        <f t="shared" ref="B77:D78" si="2">B238</f>
        <v>0</v>
      </c>
      <c r="C77" s="74">
        <f t="shared" si="2"/>
        <v>0</v>
      </c>
      <c r="D77" s="74">
        <f t="shared" si="2"/>
        <v>0</v>
      </c>
      <c r="E77" s="20">
        <f>SUM(B77:D77)</f>
        <v>0</v>
      </c>
    </row>
    <row r="78" spans="1:5" ht="12.75" hidden="1" customHeight="1" outlineLevel="1">
      <c r="A78" s="69" t="str">
        <f>"         "&amp;Labels!B92</f>
        <v xml:space="preserve">         Series A</v>
      </c>
      <c r="B78" s="74">
        <f t="shared" si="2"/>
        <v>0</v>
      </c>
      <c r="C78" s="74">
        <f t="shared" si="2"/>
        <v>0</v>
      </c>
      <c r="D78" s="74">
        <f t="shared" si="2"/>
        <v>0</v>
      </c>
      <c r="E78" s="20">
        <f>SUM(B78:D78)</f>
        <v>0</v>
      </c>
    </row>
    <row r="79" spans="1:5" ht="12.75" hidden="1" customHeight="1" outlineLevel="1">
      <c r="A79" s="69" t="str">
        <f>"         "&amp;Labels!C90</f>
        <v xml:space="preserve">         Subtotal</v>
      </c>
      <c r="B79" s="73">
        <f>SUM(B77:B78)</f>
        <v>0</v>
      </c>
      <c r="C79" s="73">
        <f>SUM(C77:C78)</f>
        <v>0</v>
      </c>
      <c r="D79" s="73">
        <f>SUM(D77:D78)</f>
        <v>0</v>
      </c>
      <c r="E79" s="20">
        <f>SUM(E77:E78)</f>
        <v>0</v>
      </c>
    </row>
    <row r="80" spans="1:5" ht="12.75" hidden="1" customHeight="1" outlineLevel="1">
      <c r="A80" s="13" t="str">
        <f>"      "&amp;Labels!C82</f>
        <v xml:space="preserve">      Total</v>
      </c>
      <c r="B80" s="72">
        <f>SUM(B70,B73:B75,B79)</f>
        <v>100000</v>
      </c>
      <c r="C80" s="72">
        <f>SUM(C70,C73:C75,C79)</f>
        <v>0</v>
      </c>
      <c r="D80" s="72">
        <f>SUM(D70,D73:D75,D79)</f>
        <v>0</v>
      </c>
      <c r="E80" s="20">
        <f>SUM(E70,E73:E75,E79)</f>
        <v>100000</v>
      </c>
    </row>
    <row r="81" spans="1:5" ht="12.75" hidden="1" customHeight="1" outlineLevel="1">
      <c r="A81" s="13" t="str">
        <f>"   "&amp;Labels!B73</f>
        <v xml:space="preserve">   Post Sales</v>
      </c>
      <c r="B81" s="72"/>
      <c r="C81" s="72"/>
      <c r="D81" s="72"/>
      <c r="E81" s="20"/>
    </row>
    <row r="82" spans="1:5" ht="12.75" hidden="1" customHeight="1" outlineLevel="1">
      <c r="A82" s="69" t="str">
        <f>"      "&amp;Labels!B83</f>
        <v xml:space="preserve">      Conv Note</v>
      </c>
      <c r="B82" s="73"/>
      <c r="C82" s="73"/>
      <c r="D82" s="73"/>
      <c r="E82" s="20"/>
    </row>
    <row r="83" spans="1:5" ht="12.75" hidden="1" customHeight="1" outlineLevel="1">
      <c r="A83" s="69" t="str">
        <f>"         "&amp;Labels!B84</f>
        <v xml:space="preserve">         Series B</v>
      </c>
      <c r="B83" s="74">
        <f t="shared" ref="B83:D84" si="3">B53+B68</f>
        <v>0</v>
      </c>
      <c r="C83" s="74">
        <f t="shared" si="3"/>
        <v>0</v>
      </c>
      <c r="D83" s="74">
        <f t="shared" si="3"/>
        <v>0</v>
      </c>
      <c r="E83" s="20">
        <f>SUM(B83:D83)</f>
        <v>0</v>
      </c>
    </row>
    <row r="84" spans="1:5" ht="12.75" hidden="1" customHeight="1" outlineLevel="1">
      <c r="A84" s="69" t="str">
        <f>"         "&amp;Labels!B85</f>
        <v xml:space="preserve">         Series A</v>
      </c>
      <c r="B84" s="74">
        <f t="shared" si="3"/>
        <v>0</v>
      </c>
      <c r="C84" s="74">
        <f t="shared" si="3"/>
        <v>0</v>
      </c>
      <c r="D84" s="74">
        <f t="shared" si="3"/>
        <v>0</v>
      </c>
      <c r="E84" s="20">
        <f>SUM(B84:D84)</f>
        <v>0</v>
      </c>
    </row>
    <row r="85" spans="1:5" ht="12.75" hidden="1" customHeight="1" outlineLevel="1">
      <c r="A85" s="69" t="str">
        <f>"         "&amp;Labels!C83</f>
        <v xml:space="preserve">         Subtotal</v>
      </c>
      <c r="B85" s="73">
        <f>SUM(B83:B84)</f>
        <v>0</v>
      </c>
      <c r="C85" s="73">
        <f>SUM(C83:C84)</f>
        <v>0</v>
      </c>
      <c r="D85" s="73">
        <f>SUM(D83:D84)</f>
        <v>0</v>
      </c>
      <c r="E85" s="20">
        <f>SUM(E83:E84)</f>
        <v>0</v>
      </c>
    </row>
    <row r="86" spans="1:5" ht="12.75" hidden="1" customHeight="1" outlineLevel="1">
      <c r="A86" s="69" t="str">
        <f>"      "&amp;Labels!B86</f>
        <v xml:space="preserve">      Preferred</v>
      </c>
      <c r="B86" s="73"/>
      <c r="C86" s="73"/>
      <c r="D86" s="73"/>
      <c r="E86" s="20"/>
    </row>
    <row r="87" spans="1:5" ht="12.75" hidden="1" customHeight="1" outlineLevel="1">
      <c r="A87" s="69" t="str">
        <f>"         "&amp;Labels!B87</f>
        <v xml:space="preserve">         Series A</v>
      </c>
      <c r="B87" s="74">
        <f>B57+B72</f>
        <v>0</v>
      </c>
      <c r="C87" s="74">
        <f>C57+C72</f>
        <v>0</v>
      </c>
      <c r="D87" s="74">
        <f>D57+D72</f>
        <v>0</v>
      </c>
      <c r="E87" s="20">
        <f>SUM(B87:D87)</f>
        <v>0</v>
      </c>
    </row>
    <row r="88" spans="1:5" ht="12.75" hidden="1" customHeight="1" outlineLevel="1">
      <c r="A88" s="69" t="str">
        <f>"         "&amp;Labels!C86</f>
        <v xml:space="preserve">         Subtotal</v>
      </c>
      <c r="B88" s="73">
        <f>B87</f>
        <v>0</v>
      </c>
      <c r="C88" s="73">
        <f>C87</f>
        <v>0</v>
      </c>
      <c r="D88" s="73">
        <f>D87</f>
        <v>0</v>
      </c>
      <c r="E88" s="20">
        <f>E87</f>
        <v>0</v>
      </c>
    </row>
    <row r="89" spans="1:5" ht="12.75" hidden="1" customHeight="1" outlineLevel="1">
      <c r="A89" s="69" t="str">
        <f>"      "&amp;Labels!B88</f>
        <v xml:space="preserve">      Common</v>
      </c>
      <c r="B89" s="73">
        <f t="shared" ref="B89:D90" si="4">B59+B74</f>
        <v>100000</v>
      </c>
      <c r="C89" s="73">
        <f t="shared" si="4"/>
        <v>100000</v>
      </c>
      <c r="D89" s="73">
        <f t="shared" si="4"/>
        <v>100000</v>
      </c>
      <c r="E89" s="20">
        <f>SUM(B89:D89)</f>
        <v>300000</v>
      </c>
    </row>
    <row r="90" spans="1:5" ht="12.75" hidden="1" customHeight="1" outlineLevel="1">
      <c r="A90" s="69" t="str">
        <f>"      "&amp;Labels!B89</f>
        <v xml:space="preserve">      Warrant</v>
      </c>
      <c r="B90" s="73">
        <f t="shared" si="4"/>
        <v>0</v>
      </c>
      <c r="C90" s="73">
        <f t="shared" si="4"/>
        <v>0</v>
      </c>
      <c r="D90" s="73">
        <f t="shared" si="4"/>
        <v>0</v>
      </c>
      <c r="E90" s="20">
        <f>SUM(B90:D90)</f>
        <v>0</v>
      </c>
    </row>
    <row r="91" spans="1:5" ht="12.75" hidden="1" customHeight="1" outlineLevel="1">
      <c r="A91" s="69" t="str">
        <f>"      "&amp;Labels!B90</f>
        <v xml:space="preserve">      Option</v>
      </c>
      <c r="B91" s="73"/>
      <c r="C91" s="73"/>
      <c r="D91" s="73"/>
      <c r="E91" s="20"/>
    </row>
    <row r="92" spans="1:5" ht="12.75" hidden="1" customHeight="1" outlineLevel="1">
      <c r="A92" s="69" t="str">
        <f>"         "&amp;Labels!B91</f>
        <v xml:space="preserve">         Series B</v>
      </c>
      <c r="B92" s="74">
        <f t="shared" ref="B92:D93" si="5">B62+B77</f>
        <v>0</v>
      </c>
      <c r="C92" s="74">
        <f t="shared" si="5"/>
        <v>0</v>
      </c>
      <c r="D92" s="74">
        <f t="shared" si="5"/>
        <v>0</v>
      </c>
      <c r="E92" s="20">
        <f>SUM(B92:D92)</f>
        <v>0</v>
      </c>
    </row>
    <row r="93" spans="1:5" ht="12.75" hidden="1" customHeight="1" outlineLevel="1">
      <c r="A93" s="69" t="str">
        <f>"         "&amp;Labels!B92</f>
        <v xml:space="preserve">         Series A</v>
      </c>
      <c r="B93" s="74">
        <f t="shared" si="5"/>
        <v>0</v>
      </c>
      <c r="C93" s="74">
        <f t="shared" si="5"/>
        <v>0</v>
      </c>
      <c r="D93" s="74">
        <f t="shared" si="5"/>
        <v>0</v>
      </c>
      <c r="E93" s="20">
        <f>SUM(B93:D93)</f>
        <v>0</v>
      </c>
    </row>
    <row r="94" spans="1:5" ht="12.75" hidden="1" customHeight="1" outlineLevel="1">
      <c r="A94" s="69" t="str">
        <f>"         "&amp;Labels!C90</f>
        <v xml:space="preserve">         Subtotal</v>
      </c>
      <c r="B94" s="73">
        <f>SUM(B92:B93)</f>
        <v>0</v>
      </c>
      <c r="C94" s="73">
        <f>SUM(C92:C93)</f>
        <v>0</v>
      </c>
      <c r="D94" s="73">
        <f>SUM(D92:D93)</f>
        <v>0</v>
      </c>
      <c r="E94" s="20">
        <f>SUM(E92:E93)</f>
        <v>0</v>
      </c>
    </row>
    <row r="95" spans="1:5" ht="12.75" hidden="1" customHeight="1" outlineLevel="1">
      <c r="A95" s="13" t="str">
        <f>"      "&amp;Labels!C82</f>
        <v xml:space="preserve">      Total</v>
      </c>
      <c r="B95" s="72">
        <f>SUM(B85,B88:B90,B94)</f>
        <v>100000</v>
      </c>
      <c r="C95" s="72">
        <f>SUM(C85,C88:C90,C94)</f>
        <v>100000</v>
      </c>
      <c r="D95" s="72">
        <f>SUM(D85,D88:D90,D94)</f>
        <v>100000</v>
      </c>
      <c r="E95" s="20">
        <f>SUM(E85,E88:E90,E94)</f>
        <v>300000</v>
      </c>
    </row>
    <row r="96" spans="1:5" ht="12.75" hidden="1" customHeight="1" outlineLevel="1">
      <c r="A96" s="13" t="str">
        <f>"   "&amp;Labels!B74</f>
        <v xml:space="preserve">   Convert</v>
      </c>
      <c r="B96" s="72"/>
      <c r="C96" s="72"/>
      <c r="D96" s="72"/>
      <c r="E96" s="20"/>
    </row>
    <row r="97" spans="1:5" ht="12.75" hidden="1" customHeight="1" outlineLevel="1">
      <c r="A97" s="69" t="str">
        <f>"      "&amp;Labels!B83</f>
        <v xml:space="preserve">      Conv Note</v>
      </c>
      <c r="B97" s="73"/>
      <c r="C97" s="73"/>
      <c r="D97" s="73"/>
      <c r="E97" s="20"/>
    </row>
    <row r="98" spans="1:5" ht="12.75" hidden="1" customHeight="1" outlineLevel="1">
      <c r="A98" s="69" t="str">
        <f>"         "&amp;Labels!B84</f>
        <v xml:space="preserve">         Series B</v>
      </c>
      <c r="B98" s="74">
        <f t="shared" ref="B98:D99" si="6">0/3/10</f>
        <v>0</v>
      </c>
      <c r="C98" s="74">
        <f t="shared" si="6"/>
        <v>0</v>
      </c>
      <c r="D98" s="74">
        <f t="shared" si="6"/>
        <v>0</v>
      </c>
      <c r="E98" s="20">
        <f>SUM(B98:D98)</f>
        <v>0</v>
      </c>
    </row>
    <row r="99" spans="1:5" ht="12.75" hidden="1" customHeight="1" outlineLevel="1">
      <c r="A99" s="69" t="str">
        <f>"         "&amp;Labels!B85</f>
        <v xml:space="preserve">         Series A</v>
      </c>
      <c r="B99" s="74">
        <f t="shared" si="6"/>
        <v>0</v>
      </c>
      <c r="C99" s="74">
        <f t="shared" si="6"/>
        <v>0</v>
      </c>
      <c r="D99" s="74">
        <f t="shared" si="6"/>
        <v>0</v>
      </c>
      <c r="E99" s="20">
        <f>SUM(B99:D99)</f>
        <v>0</v>
      </c>
    </row>
    <row r="100" spans="1:5" ht="12.75" hidden="1" customHeight="1" outlineLevel="1">
      <c r="A100" s="69" t="str">
        <f>"         "&amp;Labels!C83</f>
        <v xml:space="preserve">         Subtotal</v>
      </c>
      <c r="B100" s="73">
        <f>SUM(B98:B99)</f>
        <v>0</v>
      </c>
      <c r="C100" s="73">
        <f>SUM(C98:C99)</f>
        <v>0</v>
      </c>
      <c r="D100" s="73">
        <f>SUM(D98:D99)</f>
        <v>0</v>
      </c>
      <c r="E100" s="20">
        <f>SUM(E98:E99)</f>
        <v>0</v>
      </c>
    </row>
    <row r="101" spans="1:5" ht="12.75" hidden="1" customHeight="1" outlineLevel="1">
      <c r="A101" s="69" t="str">
        <f>"      "&amp;Labels!B86</f>
        <v xml:space="preserve">      Preferred</v>
      </c>
      <c r="B101" s="73"/>
      <c r="C101" s="73"/>
      <c r="D101" s="73"/>
      <c r="E101" s="20"/>
    </row>
    <row r="102" spans="1:5" ht="12.75" hidden="1" customHeight="1" outlineLevel="1">
      <c r="A102" s="69" t="str">
        <f>"         "&amp;Labels!B87</f>
        <v xml:space="preserve">         Series A</v>
      </c>
      <c r="B102" s="74">
        <f>0/3/5</f>
        <v>0</v>
      </c>
      <c r="C102" s="74">
        <f>0/3/5</f>
        <v>0</v>
      </c>
      <c r="D102" s="74">
        <f>0/3/5</f>
        <v>0</v>
      </c>
      <c r="E102" s="20">
        <f>SUM(B102:D102)</f>
        <v>0</v>
      </c>
    </row>
    <row r="103" spans="1:5" ht="12.75" hidden="1" customHeight="1" outlineLevel="1">
      <c r="A103" s="69" t="str">
        <f>"         "&amp;Labels!C86</f>
        <v xml:space="preserve">         Subtotal</v>
      </c>
      <c r="B103" s="73">
        <f>B102</f>
        <v>0</v>
      </c>
      <c r="C103" s="73">
        <f>C102</f>
        <v>0</v>
      </c>
      <c r="D103" s="73">
        <f>D102</f>
        <v>0</v>
      </c>
      <c r="E103" s="20">
        <f>E102</f>
        <v>0</v>
      </c>
    </row>
    <row r="104" spans="1:5" ht="12.75" hidden="1" customHeight="1" outlineLevel="1">
      <c r="A104" s="69" t="str">
        <f>"      "&amp;Labels!B88</f>
        <v xml:space="preserve">      Common</v>
      </c>
      <c r="B104" s="73">
        <f>0/3/5</f>
        <v>0</v>
      </c>
      <c r="C104" s="73">
        <f>0/3/5</f>
        <v>0</v>
      </c>
      <c r="D104" s="73">
        <f>0/3/5</f>
        <v>0</v>
      </c>
      <c r="E104" s="20">
        <f>SUM(B104:D104)</f>
        <v>0</v>
      </c>
    </row>
    <row r="105" spans="1:5" ht="12.75" hidden="1" customHeight="1" outlineLevel="1">
      <c r="A105" s="69" t="str">
        <f>"      "&amp;Labels!B89</f>
        <v xml:space="preserve">      Warrant</v>
      </c>
      <c r="B105" s="73">
        <f>Options!B16</f>
        <v>0</v>
      </c>
      <c r="C105" s="73">
        <f>Options!C16</f>
        <v>0</v>
      </c>
      <c r="D105" s="73">
        <f>Options!D16</f>
        <v>0</v>
      </c>
      <c r="E105" s="20">
        <f>SUM(B105:D105)</f>
        <v>0</v>
      </c>
    </row>
    <row r="106" spans="1:5" ht="12.75" hidden="1" customHeight="1" outlineLevel="1">
      <c r="A106" s="69" t="str">
        <f>"      "&amp;Labels!B90</f>
        <v xml:space="preserve">      Option</v>
      </c>
      <c r="B106" s="73"/>
      <c r="C106" s="73"/>
      <c r="D106" s="73"/>
      <c r="E106" s="20"/>
    </row>
    <row r="107" spans="1:5" ht="12.75" hidden="1" customHeight="1" outlineLevel="1">
      <c r="A107" s="69" t="str">
        <f>"         "&amp;Labels!B91</f>
        <v xml:space="preserve">         Series B</v>
      </c>
      <c r="B107" s="74">
        <f>Options!B39</f>
        <v>0</v>
      </c>
      <c r="C107" s="74">
        <f>Options!C39</f>
        <v>0</v>
      </c>
      <c r="D107" s="74">
        <f>Options!D39</f>
        <v>0</v>
      </c>
      <c r="E107" s="20">
        <f>SUM(B107:D107)</f>
        <v>0</v>
      </c>
    </row>
    <row r="108" spans="1:5" ht="12.75" hidden="1" customHeight="1" outlineLevel="1">
      <c r="A108" s="69" t="str">
        <f>"         "&amp;Labels!B92</f>
        <v xml:space="preserve">         Series A</v>
      </c>
      <c r="B108" s="74">
        <f>Options!B40</f>
        <v>0</v>
      </c>
      <c r="C108" s="74">
        <f>Options!C40</f>
        <v>0</v>
      </c>
      <c r="D108" s="74">
        <f>Options!D40</f>
        <v>0</v>
      </c>
      <c r="E108" s="20">
        <f>SUM(B108:D108)</f>
        <v>0</v>
      </c>
    </row>
    <row r="109" spans="1:5" ht="12.75" hidden="1" customHeight="1" outlineLevel="1">
      <c r="A109" s="69" t="str">
        <f>"         "&amp;Labels!C90</f>
        <v xml:space="preserve">         Subtotal</v>
      </c>
      <c r="B109" s="73">
        <f>SUM(B107:B108)</f>
        <v>0</v>
      </c>
      <c r="C109" s="73">
        <f>SUM(C107:C108)</f>
        <v>0</v>
      </c>
      <c r="D109" s="73">
        <f>SUM(D107:D108)</f>
        <v>0</v>
      </c>
      <c r="E109" s="20">
        <f>SUM(E107:E108)</f>
        <v>0</v>
      </c>
    </row>
    <row r="110" spans="1:5" ht="12.75" hidden="1" customHeight="1" outlineLevel="1">
      <c r="A110" s="13" t="str">
        <f>"      "&amp;Labels!C82</f>
        <v xml:space="preserve">      Total</v>
      </c>
      <c r="B110" s="72">
        <f>SUM(B100,B103:B105,B109)</f>
        <v>0</v>
      </c>
      <c r="C110" s="72">
        <f>SUM(C100,C103:C105,C109)</f>
        <v>0</v>
      </c>
      <c r="D110" s="72">
        <f>SUM(D100,D103:D105,D109)</f>
        <v>0</v>
      </c>
      <c r="E110" s="20">
        <f>SUM(E100,E103:E105,E109)</f>
        <v>0</v>
      </c>
    </row>
    <row r="111" spans="1:5" ht="12.75" hidden="1" customHeight="1" outlineLevel="1">
      <c r="A111" s="13" t="str">
        <f>"   "&amp;Labels!B75</f>
        <v xml:space="preserve">   End</v>
      </c>
      <c r="B111" s="72"/>
      <c r="C111" s="72"/>
      <c r="D111" s="72"/>
      <c r="E111" s="20"/>
    </row>
    <row r="112" spans="1:5" ht="12.75" hidden="1" customHeight="1" outlineLevel="1">
      <c r="A112" s="69" t="str">
        <f>"      "&amp;Labels!B83</f>
        <v xml:space="preserve">      Conv Note</v>
      </c>
      <c r="B112" s="73"/>
      <c r="C112" s="73"/>
      <c r="D112" s="73"/>
      <c r="E112" s="20"/>
    </row>
    <row r="113" spans="1:5" ht="12.75" hidden="1" customHeight="1" outlineLevel="1">
      <c r="A113" s="69" t="str">
        <f>"         "&amp;Labels!B84</f>
        <v xml:space="preserve">         Series B</v>
      </c>
      <c r="B113" s="74">
        <f t="shared" ref="B113:D114" si="7">B83+B98</f>
        <v>0</v>
      </c>
      <c r="C113" s="74">
        <f t="shared" si="7"/>
        <v>0</v>
      </c>
      <c r="D113" s="74">
        <f t="shared" si="7"/>
        <v>0</v>
      </c>
      <c r="E113" s="20">
        <f>SUM(B113:D113)</f>
        <v>0</v>
      </c>
    </row>
    <row r="114" spans="1:5" ht="12.75" hidden="1" customHeight="1" outlineLevel="1">
      <c r="A114" s="69" t="str">
        <f>"         "&amp;Labels!B85</f>
        <v xml:space="preserve">         Series A</v>
      </c>
      <c r="B114" s="74">
        <f t="shared" si="7"/>
        <v>0</v>
      </c>
      <c r="C114" s="74">
        <f t="shared" si="7"/>
        <v>0</v>
      </c>
      <c r="D114" s="74">
        <f t="shared" si="7"/>
        <v>0</v>
      </c>
      <c r="E114" s="20">
        <f>SUM(B114:D114)</f>
        <v>0</v>
      </c>
    </row>
    <row r="115" spans="1:5" ht="12.75" hidden="1" customHeight="1" outlineLevel="1">
      <c r="A115" s="69" t="str">
        <f>"         "&amp;Labels!C83</f>
        <v xml:space="preserve">         Subtotal</v>
      </c>
      <c r="B115" s="73">
        <f>SUM(B113:B114)</f>
        <v>0</v>
      </c>
      <c r="C115" s="73">
        <f>SUM(C113:C114)</f>
        <v>0</v>
      </c>
      <c r="D115" s="73">
        <f>SUM(D113:D114)</f>
        <v>0</v>
      </c>
      <c r="E115" s="20">
        <f>SUM(E113:E114)</f>
        <v>0</v>
      </c>
    </row>
    <row r="116" spans="1:5" ht="12.75" hidden="1" customHeight="1" outlineLevel="1">
      <c r="A116" s="69" t="str">
        <f>"      "&amp;Labels!B86</f>
        <v xml:space="preserve">      Preferred</v>
      </c>
      <c r="B116" s="73"/>
      <c r="C116" s="73"/>
      <c r="D116" s="73"/>
      <c r="E116" s="20"/>
    </row>
    <row r="117" spans="1:5" ht="12.75" hidden="1" customHeight="1" outlineLevel="1">
      <c r="A117" s="69" t="str">
        <f>"         "&amp;Labels!B87</f>
        <v xml:space="preserve">         Series A</v>
      </c>
      <c r="B117" s="74">
        <f>B87+B102</f>
        <v>0</v>
      </c>
      <c r="C117" s="74">
        <f>C87+C102</f>
        <v>0</v>
      </c>
      <c r="D117" s="74">
        <f>D87+D102</f>
        <v>0</v>
      </c>
      <c r="E117" s="20">
        <f>SUM(B117:D117)</f>
        <v>0</v>
      </c>
    </row>
    <row r="118" spans="1:5" ht="12.75" hidden="1" customHeight="1" outlineLevel="1">
      <c r="A118" s="69" t="str">
        <f>"         "&amp;Labels!C86</f>
        <v xml:space="preserve">         Subtotal</v>
      </c>
      <c r="B118" s="73">
        <f>B117</f>
        <v>0</v>
      </c>
      <c r="C118" s="73">
        <f>C117</f>
        <v>0</v>
      </c>
      <c r="D118" s="73">
        <f>D117</f>
        <v>0</v>
      </c>
      <c r="E118" s="20">
        <f>E117</f>
        <v>0</v>
      </c>
    </row>
    <row r="119" spans="1:5" ht="12.75" hidden="1" customHeight="1" outlineLevel="1">
      <c r="A119" s="69" t="str">
        <f>"      "&amp;Labels!B88</f>
        <v xml:space="preserve">      Common</v>
      </c>
      <c r="B119" s="73">
        <f t="shared" ref="B119:D120" si="8">B89+B104</f>
        <v>100000</v>
      </c>
      <c r="C119" s="73">
        <f t="shared" si="8"/>
        <v>100000</v>
      </c>
      <c r="D119" s="73">
        <f t="shared" si="8"/>
        <v>100000</v>
      </c>
      <c r="E119" s="20">
        <f>SUM(B119:D119)</f>
        <v>300000</v>
      </c>
    </row>
    <row r="120" spans="1:5" ht="12.75" hidden="1" customHeight="1" outlineLevel="1">
      <c r="A120" s="69" t="str">
        <f>"      "&amp;Labels!B89</f>
        <v xml:space="preserve">      Warrant</v>
      </c>
      <c r="B120" s="73">
        <f t="shared" si="8"/>
        <v>0</v>
      </c>
      <c r="C120" s="73">
        <f t="shared" si="8"/>
        <v>0</v>
      </c>
      <c r="D120" s="73">
        <f t="shared" si="8"/>
        <v>0</v>
      </c>
      <c r="E120" s="20">
        <f>SUM(B120:D120)</f>
        <v>0</v>
      </c>
    </row>
    <row r="121" spans="1:5" ht="12.75" hidden="1" customHeight="1" outlineLevel="1">
      <c r="A121" s="69" t="str">
        <f>"      "&amp;Labels!B90</f>
        <v xml:space="preserve">      Option</v>
      </c>
      <c r="B121" s="73"/>
      <c r="C121" s="73"/>
      <c r="D121" s="73"/>
      <c r="E121" s="20"/>
    </row>
    <row r="122" spans="1:5" ht="12.75" hidden="1" customHeight="1" outlineLevel="1">
      <c r="A122" s="69" t="str">
        <f>"         "&amp;Labels!B91</f>
        <v xml:space="preserve">         Series B</v>
      </c>
      <c r="B122" s="74">
        <f t="shared" ref="B122:D123" si="9">B92+B107</f>
        <v>0</v>
      </c>
      <c r="C122" s="74">
        <f t="shared" si="9"/>
        <v>0</v>
      </c>
      <c r="D122" s="74">
        <f t="shared" si="9"/>
        <v>0</v>
      </c>
      <c r="E122" s="20">
        <f>SUM(B122:D122)</f>
        <v>0</v>
      </c>
    </row>
    <row r="123" spans="1:5" ht="12.75" hidden="1" customHeight="1" outlineLevel="1">
      <c r="A123" s="69" t="str">
        <f>"         "&amp;Labels!B92</f>
        <v xml:space="preserve">         Series A</v>
      </c>
      <c r="B123" s="74">
        <f t="shared" si="9"/>
        <v>0</v>
      </c>
      <c r="C123" s="74">
        <f t="shared" si="9"/>
        <v>0</v>
      </c>
      <c r="D123" s="74">
        <f t="shared" si="9"/>
        <v>0</v>
      </c>
      <c r="E123" s="20">
        <f>SUM(B123:D123)</f>
        <v>0</v>
      </c>
    </row>
    <row r="124" spans="1:5" ht="12.75" hidden="1" customHeight="1" outlineLevel="1">
      <c r="A124" s="69" t="str">
        <f>"         "&amp;Labels!C90</f>
        <v xml:space="preserve">         Subtotal</v>
      </c>
      <c r="B124" s="73">
        <f>SUM(B122:B123)</f>
        <v>0</v>
      </c>
      <c r="C124" s="73">
        <f>SUM(C122:C123)</f>
        <v>0</v>
      </c>
      <c r="D124" s="73">
        <f>SUM(D122:D123)</f>
        <v>0</v>
      </c>
      <c r="E124" s="20">
        <f>SUM(E122:E123)</f>
        <v>0</v>
      </c>
    </row>
    <row r="125" spans="1:5" ht="12.75" hidden="1" customHeight="1" outlineLevel="1">
      <c r="A125" s="13" t="str">
        <f>"      "&amp;Labels!C82</f>
        <v xml:space="preserve">      Total</v>
      </c>
      <c r="B125" s="72">
        <f>SUM(B115,B118:B120,B124)</f>
        <v>100000</v>
      </c>
      <c r="C125" s="72">
        <f>SUM(C115,C118:C120,C124)</f>
        <v>100000</v>
      </c>
      <c r="D125" s="72">
        <f>SUM(D115,D118:D120,D124)</f>
        <v>100000</v>
      </c>
      <c r="E125" s="20">
        <f>SUM(E115,E118:E120,E124)</f>
        <v>300000</v>
      </c>
    </row>
    <row r="126" spans="1:5" ht="12.75" hidden="1" customHeight="1" outlineLevel="1">
      <c r="A126" s="4"/>
      <c r="B126" s="43"/>
      <c r="C126" s="43"/>
      <c r="D126" s="43"/>
      <c r="E126" s="4"/>
    </row>
    <row r="127" spans="1:5" ht="12.75" hidden="1" customHeight="1" outlineLevel="1">
      <c r="A127" s="29" t="str">
        <f>Labels!B24</f>
        <v>Invest by Origin ex-Dividend</v>
      </c>
      <c r="B127" s="44"/>
      <c r="C127" s="44"/>
      <c r="D127" s="44"/>
      <c r="E127" s="20"/>
    </row>
    <row r="128" spans="1:5" ht="12.75" hidden="1" customHeight="1" outlineLevel="1">
      <c r="A128" s="13" t="str">
        <f>"   "&amp;Labels!B71</f>
        <v xml:space="preserve">   Start</v>
      </c>
      <c r="B128" s="72"/>
      <c r="C128" s="72"/>
      <c r="D128" s="72"/>
      <c r="E128" s="20"/>
    </row>
    <row r="129" spans="1:5" ht="12.75" hidden="1" customHeight="1" outlineLevel="1">
      <c r="A129" s="69" t="str">
        <f>"      "&amp;Labels!B83</f>
        <v xml:space="preserve">      Conv Note</v>
      </c>
      <c r="B129" s="73"/>
      <c r="C129" s="73"/>
      <c r="D129" s="73"/>
      <c r="E129" s="20"/>
    </row>
    <row r="130" spans="1:5" ht="12.75" hidden="1" customHeight="1" outlineLevel="1">
      <c r="A130" s="69" t="str">
        <f>"         "&amp;Labels!B84</f>
        <v xml:space="preserve">         Series B</v>
      </c>
      <c r="B130" s="74">
        <f>0</f>
        <v>0</v>
      </c>
      <c r="C130" s="74">
        <f>B190</f>
        <v>0</v>
      </c>
      <c r="D130" s="74">
        <f>C190</f>
        <v>0</v>
      </c>
      <c r="E130" s="20">
        <f>SUM(B130:D130)</f>
        <v>0</v>
      </c>
    </row>
    <row r="131" spans="1:5" ht="12.75" hidden="1" customHeight="1" outlineLevel="1">
      <c r="A131" s="69" t="str">
        <f>"         "&amp;Labels!B85</f>
        <v xml:space="preserve">         Series A</v>
      </c>
      <c r="B131" s="74">
        <f>0</f>
        <v>0</v>
      </c>
      <c r="C131" s="74">
        <f>B191</f>
        <v>0</v>
      </c>
      <c r="D131" s="74">
        <f>C191</f>
        <v>0</v>
      </c>
      <c r="E131" s="20">
        <f>SUM(B131:D131)</f>
        <v>0</v>
      </c>
    </row>
    <row r="132" spans="1:5" ht="12.75" hidden="1" customHeight="1" outlineLevel="1">
      <c r="A132" s="69" t="str">
        <f>"         "&amp;Labels!C83</f>
        <v xml:space="preserve">         Subtotal</v>
      </c>
      <c r="B132" s="73">
        <f>SUM(B130:B131)</f>
        <v>0</v>
      </c>
      <c r="C132" s="73">
        <f>SUM(C130:C131)</f>
        <v>0</v>
      </c>
      <c r="D132" s="73">
        <f>SUM(D130:D131)</f>
        <v>0</v>
      </c>
      <c r="E132" s="20">
        <f>SUM(E130:E131)</f>
        <v>0</v>
      </c>
    </row>
    <row r="133" spans="1:5" ht="12.75" hidden="1" customHeight="1" outlineLevel="1">
      <c r="A133" s="69" t="str">
        <f>"      "&amp;Labels!B86</f>
        <v xml:space="preserve">      Preferred</v>
      </c>
      <c r="B133" s="73"/>
      <c r="C133" s="73"/>
      <c r="D133" s="73"/>
      <c r="E133" s="20"/>
    </row>
    <row r="134" spans="1:5" ht="12.75" hidden="1" customHeight="1" outlineLevel="1">
      <c r="A134" s="69" t="str">
        <f>"         "&amp;Labels!B87</f>
        <v xml:space="preserve">         Series A</v>
      </c>
      <c r="B134" s="74">
        <f>0</f>
        <v>0</v>
      </c>
      <c r="C134" s="74">
        <f>B194</f>
        <v>0</v>
      </c>
      <c r="D134" s="74">
        <f>C194</f>
        <v>0</v>
      </c>
      <c r="E134" s="20">
        <f>SUM(B134:D134)</f>
        <v>0</v>
      </c>
    </row>
    <row r="135" spans="1:5" ht="12.75" hidden="1" customHeight="1" outlineLevel="1">
      <c r="A135" s="69" t="str">
        <f>"         "&amp;Labels!C86</f>
        <v xml:space="preserve">         Subtotal</v>
      </c>
      <c r="B135" s="73">
        <f>B134</f>
        <v>0</v>
      </c>
      <c r="C135" s="73">
        <f>C134</f>
        <v>0</v>
      </c>
      <c r="D135" s="73">
        <f>D134</f>
        <v>0</v>
      </c>
      <c r="E135" s="20">
        <f>E134</f>
        <v>0</v>
      </c>
    </row>
    <row r="136" spans="1:5" ht="12.75" hidden="1" customHeight="1" outlineLevel="1">
      <c r="A136" s="69" t="str">
        <f>"      "&amp;Labels!B88</f>
        <v xml:space="preserve">      Common</v>
      </c>
      <c r="B136" s="73">
        <f>0</f>
        <v>0</v>
      </c>
      <c r="C136" s="73">
        <f>B196</f>
        <v>100000</v>
      </c>
      <c r="D136" s="73">
        <f>C196</f>
        <v>100000</v>
      </c>
      <c r="E136" s="20">
        <f>SUM(B136:D136)</f>
        <v>200000</v>
      </c>
    </row>
    <row r="137" spans="1:5" ht="12.75" hidden="1" customHeight="1" outlineLevel="1">
      <c r="A137" s="69" t="str">
        <f>"      "&amp;Labels!B89</f>
        <v xml:space="preserve">      Warrant</v>
      </c>
      <c r="B137" s="73">
        <f>0</f>
        <v>0</v>
      </c>
      <c r="C137" s="73">
        <f>B197</f>
        <v>0</v>
      </c>
      <c r="D137" s="73">
        <f>C197</f>
        <v>0</v>
      </c>
      <c r="E137" s="20">
        <f>SUM(B137:D137)</f>
        <v>0</v>
      </c>
    </row>
    <row r="138" spans="1:5" ht="12.75" hidden="1" customHeight="1" outlineLevel="1">
      <c r="A138" s="69" t="str">
        <f>"      "&amp;Labels!B90</f>
        <v xml:space="preserve">      Option</v>
      </c>
      <c r="B138" s="73"/>
      <c r="C138" s="73"/>
      <c r="D138" s="73"/>
      <c r="E138" s="20"/>
    </row>
    <row r="139" spans="1:5" ht="12.75" hidden="1" customHeight="1" outlineLevel="1">
      <c r="A139" s="69" t="str">
        <f>"         "&amp;Labels!B91</f>
        <v xml:space="preserve">         Series B</v>
      </c>
      <c r="B139" s="74">
        <f>0</f>
        <v>0</v>
      </c>
      <c r="C139" s="74">
        <f>B199</f>
        <v>0</v>
      </c>
      <c r="D139" s="74">
        <f>C199</f>
        <v>0</v>
      </c>
      <c r="E139" s="20">
        <f>SUM(B139:D139)</f>
        <v>0</v>
      </c>
    </row>
    <row r="140" spans="1:5" ht="12.75" hidden="1" customHeight="1" outlineLevel="1">
      <c r="A140" s="69" t="str">
        <f>"         "&amp;Labels!B92</f>
        <v xml:space="preserve">         Series A</v>
      </c>
      <c r="B140" s="74">
        <f>0</f>
        <v>0</v>
      </c>
      <c r="C140" s="74">
        <f>B200</f>
        <v>0</v>
      </c>
      <c r="D140" s="74">
        <f>C200</f>
        <v>0</v>
      </c>
      <c r="E140" s="20">
        <f>SUM(B140:D140)</f>
        <v>0</v>
      </c>
    </row>
    <row r="141" spans="1:5" ht="12.75" hidden="1" customHeight="1" outlineLevel="1">
      <c r="A141" s="69" t="str">
        <f>"         "&amp;Labels!C90</f>
        <v xml:space="preserve">         Subtotal</v>
      </c>
      <c r="B141" s="73">
        <f>SUM(B139:B140)</f>
        <v>0</v>
      </c>
      <c r="C141" s="73">
        <f>SUM(C139:C140)</f>
        <v>0</v>
      </c>
      <c r="D141" s="73">
        <f>SUM(D139:D140)</f>
        <v>0</v>
      </c>
      <c r="E141" s="20">
        <f>SUM(E139:E140)</f>
        <v>0</v>
      </c>
    </row>
    <row r="142" spans="1:5" ht="12.75" hidden="1" customHeight="1" outlineLevel="1">
      <c r="A142" s="13" t="str">
        <f>"      "&amp;Labels!C82</f>
        <v xml:space="preserve">      Total</v>
      </c>
      <c r="B142" s="72">
        <f>SUM(B132,B135:B137,B141)</f>
        <v>0</v>
      </c>
      <c r="C142" s="72">
        <f>SUM(C132,C135:C137,C141)</f>
        <v>100000</v>
      </c>
      <c r="D142" s="72">
        <f>SUM(D132,D135:D137,D141)</f>
        <v>100000</v>
      </c>
      <c r="E142" s="20">
        <f>SUM(E132,E135:E137,E141)</f>
        <v>200000</v>
      </c>
    </row>
    <row r="143" spans="1:5" ht="12.75" hidden="1" customHeight="1" outlineLevel="1">
      <c r="A143" s="13" t="str">
        <f>"   "&amp;Labels!B72</f>
        <v xml:space="preserve">   New Sales</v>
      </c>
      <c r="B143" s="72"/>
      <c r="C143" s="72"/>
      <c r="D143" s="72"/>
      <c r="E143" s="20"/>
    </row>
    <row r="144" spans="1:5" ht="12.75" hidden="1" customHeight="1" outlineLevel="1">
      <c r="A144" s="69" t="str">
        <f>"      "&amp;Labels!B83</f>
        <v xml:space="preserve">      Conv Note</v>
      </c>
      <c r="B144" s="73"/>
      <c r="C144" s="73"/>
      <c r="D144" s="73"/>
      <c r="E144" s="20"/>
    </row>
    <row r="145" spans="1:5" ht="12.75" hidden="1" customHeight="1" outlineLevel="1">
      <c r="A145" s="69" t="str">
        <f>"         "&amp;Labels!B84</f>
        <v xml:space="preserve">         Series B</v>
      </c>
      <c r="B145" s="74">
        <f t="shared" ref="B145:D146" si="10">B68</f>
        <v>0</v>
      </c>
      <c r="C145" s="74">
        <f t="shared" si="10"/>
        <v>0</v>
      </c>
      <c r="D145" s="74">
        <f t="shared" si="10"/>
        <v>0</v>
      </c>
      <c r="E145" s="20">
        <f>SUM(B145:D145)</f>
        <v>0</v>
      </c>
    </row>
    <row r="146" spans="1:5" ht="12.75" hidden="1" customHeight="1" outlineLevel="1">
      <c r="A146" s="69" t="str">
        <f>"         "&amp;Labels!B85</f>
        <v xml:space="preserve">         Series A</v>
      </c>
      <c r="B146" s="74">
        <f t="shared" si="10"/>
        <v>0</v>
      </c>
      <c r="C146" s="74">
        <f t="shared" si="10"/>
        <v>0</v>
      </c>
      <c r="D146" s="74">
        <f t="shared" si="10"/>
        <v>0</v>
      </c>
      <c r="E146" s="20">
        <f>SUM(B146:D146)</f>
        <v>0</v>
      </c>
    </row>
    <row r="147" spans="1:5" ht="12.75" hidden="1" customHeight="1" outlineLevel="1">
      <c r="A147" s="69" t="str">
        <f>"         "&amp;Labels!C83</f>
        <v xml:space="preserve">         Subtotal</v>
      </c>
      <c r="B147" s="73">
        <f>SUM(B145:B146)</f>
        <v>0</v>
      </c>
      <c r="C147" s="73">
        <f>SUM(C145:C146)</f>
        <v>0</v>
      </c>
      <c r="D147" s="73">
        <f>SUM(D145:D146)</f>
        <v>0</v>
      </c>
      <c r="E147" s="20">
        <f>SUM(E145:E146)</f>
        <v>0</v>
      </c>
    </row>
    <row r="148" spans="1:5" ht="12.75" hidden="1" customHeight="1" outlineLevel="1">
      <c r="A148" s="69" t="str">
        <f>"      "&amp;Labels!B86</f>
        <v xml:space="preserve">      Preferred</v>
      </c>
      <c r="B148" s="73"/>
      <c r="C148" s="73"/>
      <c r="D148" s="73"/>
      <c r="E148" s="20"/>
    </row>
    <row r="149" spans="1:5" ht="12.75" hidden="1" customHeight="1" outlineLevel="1">
      <c r="A149" s="69" t="str">
        <f>"         "&amp;Labels!B87</f>
        <v xml:space="preserve">         Series A</v>
      </c>
      <c r="B149" s="74">
        <f>B72</f>
        <v>0</v>
      </c>
      <c r="C149" s="74">
        <f>C72</f>
        <v>0</v>
      </c>
      <c r="D149" s="74">
        <f>D72</f>
        <v>0</v>
      </c>
      <c r="E149" s="20">
        <f>SUM(B149:D149)</f>
        <v>0</v>
      </c>
    </row>
    <row r="150" spans="1:5" ht="12.75" hidden="1" customHeight="1" outlineLevel="1">
      <c r="A150" s="69" t="str">
        <f>"         "&amp;Labels!C86</f>
        <v xml:space="preserve">         Subtotal</v>
      </c>
      <c r="B150" s="73">
        <f>B149</f>
        <v>0</v>
      </c>
      <c r="C150" s="73">
        <f>C149</f>
        <v>0</v>
      </c>
      <c r="D150" s="73">
        <f>D149</f>
        <v>0</v>
      </c>
      <c r="E150" s="20">
        <f>E149</f>
        <v>0</v>
      </c>
    </row>
    <row r="151" spans="1:5" ht="12.75" hidden="1" customHeight="1" outlineLevel="1">
      <c r="A151" s="69" t="str">
        <f>"      "&amp;Labels!B88</f>
        <v xml:space="preserve">      Common</v>
      </c>
      <c r="B151" s="73">
        <f t="shared" ref="B151:D152" si="11">B74</f>
        <v>100000</v>
      </c>
      <c r="C151" s="73">
        <f t="shared" si="11"/>
        <v>0</v>
      </c>
      <c r="D151" s="73">
        <f t="shared" si="11"/>
        <v>0</v>
      </c>
      <c r="E151" s="20">
        <f>SUM(B151:D151)</f>
        <v>100000</v>
      </c>
    </row>
    <row r="152" spans="1:5" ht="12.75" hidden="1" customHeight="1" outlineLevel="1">
      <c r="A152" s="69" t="str">
        <f>"      "&amp;Labels!B89</f>
        <v xml:space="preserve">      Warrant</v>
      </c>
      <c r="B152" s="73">
        <f t="shared" si="11"/>
        <v>0</v>
      </c>
      <c r="C152" s="73">
        <f t="shared" si="11"/>
        <v>0</v>
      </c>
      <c r="D152" s="73">
        <f t="shared" si="11"/>
        <v>0</v>
      </c>
      <c r="E152" s="20">
        <f>SUM(B152:D152)</f>
        <v>0</v>
      </c>
    </row>
    <row r="153" spans="1:5" ht="12.75" hidden="1" customHeight="1" outlineLevel="1">
      <c r="A153" s="69" t="str">
        <f>"      "&amp;Labels!B90</f>
        <v xml:space="preserve">      Option</v>
      </c>
      <c r="B153" s="73"/>
      <c r="C153" s="73"/>
      <c r="D153" s="73"/>
      <c r="E153" s="20"/>
    </row>
    <row r="154" spans="1:5" ht="12.75" hidden="1" customHeight="1" outlineLevel="1">
      <c r="A154" s="69" t="str">
        <f>"         "&amp;Labels!B91</f>
        <v xml:space="preserve">         Series B</v>
      </c>
      <c r="B154" s="74">
        <f t="shared" ref="B154:D155" si="12">B77</f>
        <v>0</v>
      </c>
      <c r="C154" s="74">
        <f t="shared" si="12"/>
        <v>0</v>
      </c>
      <c r="D154" s="74">
        <f t="shared" si="12"/>
        <v>0</v>
      </c>
      <c r="E154" s="20">
        <f>SUM(B154:D154)</f>
        <v>0</v>
      </c>
    </row>
    <row r="155" spans="1:5" ht="12.75" hidden="1" customHeight="1" outlineLevel="1">
      <c r="A155" s="69" t="str">
        <f>"         "&amp;Labels!B92</f>
        <v xml:space="preserve">         Series A</v>
      </c>
      <c r="B155" s="74">
        <f t="shared" si="12"/>
        <v>0</v>
      </c>
      <c r="C155" s="74">
        <f t="shared" si="12"/>
        <v>0</v>
      </c>
      <c r="D155" s="74">
        <f t="shared" si="12"/>
        <v>0</v>
      </c>
      <c r="E155" s="20">
        <f>SUM(B155:D155)</f>
        <v>0</v>
      </c>
    </row>
    <row r="156" spans="1:5" ht="12.75" hidden="1" customHeight="1" outlineLevel="1">
      <c r="A156" s="69" t="str">
        <f>"         "&amp;Labels!C90</f>
        <v xml:space="preserve">         Subtotal</v>
      </c>
      <c r="B156" s="73">
        <f>SUM(B154:B155)</f>
        <v>0</v>
      </c>
      <c r="C156" s="73">
        <f>SUM(C154:C155)</f>
        <v>0</v>
      </c>
      <c r="D156" s="73">
        <f>SUM(D154:D155)</f>
        <v>0</v>
      </c>
      <c r="E156" s="20">
        <f>SUM(E154:E155)</f>
        <v>0</v>
      </c>
    </row>
    <row r="157" spans="1:5" ht="12.75" hidden="1" customHeight="1" outlineLevel="1">
      <c r="A157" s="13" t="str">
        <f>"      "&amp;Labels!C82</f>
        <v xml:space="preserve">      Total</v>
      </c>
      <c r="B157" s="72">
        <f>SUM(B147,B150:B152,B156)</f>
        <v>100000</v>
      </c>
      <c r="C157" s="72">
        <f>SUM(C147,C150:C152,C156)</f>
        <v>0</v>
      </c>
      <c r="D157" s="72">
        <f>SUM(D147,D150:D152,D156)</f>
        <v>0</v>
      </c>
      <c r="E157" s="20">
        <f>SUM(E147,E150:E152,E156)</f>
        <v>100000</v>
      </c>
    </row>
    <row r="158" spans="1:5" ht="12.75" hidden="1" customHeight="1" outlineLevel="1">
      <c r="A158" s="13" t="str">
        <f>"   "&amp;Labels!B73</f>
        <v xml:space="preserve">   Post Sales</v>
      </c>
      <c r="B158" s="72"/>
      <c r="C158" s="72"/>
      <c r="D158" s="72"/>
      <c r="E158" s="20"/>
    </row>
    <row r="159" spans="1:5" ht="12.75" hidden="1" customHeight="1" outlineLevel="1">
      <c r="A159" s="69" t="str">
        <f>"      "&amp;Labels!B83</f>
        <v xml:space="preserve">      Conv Note</v>
      </c>
      <c r="B159" s="73"/>
      <c r="C159" s="73"/>
      <c r="D159" s="73"/>
      <c r="E159" s="20"/>
    </row>
    <row r="160" spans="1:5" ht="12.75" hidden="1" customHeight="1" outlineLevel="1">
      <c r="A160" s="69" t="str">
        <f>"         "&amp;Labels!B84</f>
        <v xml:space="preserve">         Series B</v>
      </c>
      <c r="B160" s="74">
        <f t="shared" ref="B160:D161" si="13">B130+B145</f>
        <v>0</v>
      </c>
      <c r="C160" s="74">
        <f t="shared" si="13"/>
        <v>0</v>
      </c>
      <c r="D160" s="74">
        <f t="shared" si="13"/>
        <v>0</v>
      </c>
      <c r="E160" s="20">
        <f>SUM(B160:D160)</f>
        <v>0</v>
      </c>
    </row>
    <row r="161" spans="1:5" ht="12.75" hidden="1" customHeight="1" outlineLevel="1">
      <c r="A161" s="69" t="str">
        <f>"         "&amp;Labels!B85</f>
        <v xml:space="preserve">         Series A</v>
      </c>
      <c r="B161" s="74">
        <f t="shared" si="13"/>
        <v>0</v>
      </c>
      <c r="C161" s="74">
        <f t="shared" si="13"/>
        <v>0</v>
      </c>
      <c r="D161" s="74">
        <f t="shared" si="13"/>
        <v>0</v>
      </c>
      <c r="E161" s="20">
        <f>SUM(B161:D161)</f>
        <v>0</v>
      </c>
    </row>
    <row r="162" spans="1:5" ht="12.75" hidden="1" customHeight="1" outlineLevel="1">
      <c r="A162" s="69" t="str">
        <f>"         "&amp;Labels!C83</f>
        <v xml:space="preserve">         Subtotal</v>
      </c>
      <c r="B162" s="73">
        <f>SUM(B160:B161)</f>
        <v>0</v>
      </c>
      <c r="C162" s="73">
        <f>SUM(C160:C161)</f>
        <v>0</v>
      </c>
      <c r="D162" s="73">
        <f>SUM(D160:D161)</f>
        <v>0</v>
      </c>
      <c r="E162" s="20">
        <f>SUM(E160:E161)</f>
        <v>0</v>
      </c>
    </row>
    <row r="163" spans="1:5" ht="12.75" hidden="1" customHeight="1" outlineLevel="1">
      <c r="A163" s="69" t="str">
        <f>"      "&amp;Labels!B86</f>
        <v xml:space="preserve">      Preferred</v>
      </c>
      <c r="B163" s="73"/>
      <c r="C163" s="73"/>
      <c r="D163" s="73"/>
      <c r="E163" s="20"/>
    </row>
    <row r="164" spans="1:5" ht="12.75" hidden="1" customHeight="1" outlineLevel="1">
      <c r="A164" s="69" t="str">
        <f>"         "&amp;Labels!B87</f>
        <v xml:space="preserve">         Series A</v>
      </c>
      <c r="B164" s="74">
        <f>B134+B149</f>
        <v>0</v>
      </c>
      <c r="C164" s="74">
        <f>C134+C149</f>
        <v>0</v>
      </c>
      <c r="D164" s="74">
        <f>D134+D149</f>
        <v>0</v>
      </c>
      <c r="E164" s="20">
        <f>SUM(B164:D164)</f>
        <v>0</v>
      </c>
    </row>
    <row r="165" spans="1:5" ht="12.75" hidden="1" customHeight="1" outlineLevel="1">
      <c r="A165" s="69" t="str">
        <f>"         "&amp;Labels!C86</f>
        <v xml:space="preserve">         Subtotal</v>
      </c>
      <c r="B165" s="73">
        <f>B164</f>
        <v>0</v>
      </c>
      <c r="C165" s="73">
        <f>C164</f>
        <v>0</v>
      </c>
      <c r="D165" s="73">
        <f>D164</f>
        <v>0</v>
      </c>
      <c r="E165" s="20">
        <f>E164</f>
        <v>0</v>
      </c>
    </row>
    <row r="166" spans="1:5" ht="12.75" hidden="1" customHeight="1" outlineLevel="1">
      <c r="A166" s="69" t="str">
        <f>"      "&amp;Labels!B88</f>
        <v xml:space="preserve">      Common</v>
      </c>
      <c r="B166" s="73">
        <f t="shared" ref="B166:D167" si="14">B136+B151</f>
        <v>100000</v>
      </c>
      <c r="C166" s="73">
        <f t="shared" si="14"/>
        <v>100000</v>
      </c>
      <c r="D166" s="73">
        <f t="shared" si="14"/>
        <v>100000</v>
      </c>
      <c r="E166" s="20">
        <f>SUM(B166:D166)</f>
        <v>300000</v>
      </c>
    </row>
    <row r="167" spans="1:5" ht="12.75" hidden="1" customHeight="1" outlineLevel="1">
      <c r="A167" s="69" t="str">
        <f>"      "&amp;Labels!B89</f>
        <v xml:space="preserve">      Warrant</v>
      </c>
      <c r="B167" s="73">
        <f t="shared" si="14"/>
        <v>0</v>
      </c>
      <c r="C167" s="73">
        <f t="shared" si="14"/>
        <v>0</v>
      </c>
      <c r="D167" s="73">
        <f t="shared" si="14"/>
        <v>0</v>
      </c>
      <c r="E167" s="20">
        <f>SUM(B167:D167)</f>
        <v>0</v>
      </c>
    </row>
    <row r="168" spans="1:5" ht="12.75" hidden="1" customHeight="1" outlineLevel="1">
      <c r="A168" s="69" t="str">
        <f>"      "&amp;Labels!B90</f>
        <v xml:space="preserve">      Option</v>
      </c>
      <c r="B168" s="73"/>
      <c r="C168" s="73"/>
      <c r="D168" s="73"/>
      <c r="E168" s="20"/>
    </row>
    <row r="169" spans="1:5" ht="12.75" hidden="1" customHeight="1" outlineLevel="1">
      <c r="A169" s="69" t="str">
        <f>"         "&amp;Labels!B91</f>
        <v xml:space="preserve">         Series B</v>
      </c>
      <c r="B169" s="74">
        <f t="shared" ref="B169:D170" si="15">B139+B154</f>
        <v>0</v>
      </c>
      <c r="C169" s="74">
        <f t="shared" si="15"/>
        <v>0</v>
      </c>
      <c r="D169" s="74">
        <f t="shared" si="15"/>
        <v>0</v>
      </c>
      <c r="E169" s="20">
        <f>SUM(B169:D169)</f>
        <v>0</v>
      </c>
    </row>
    <row r="170" spans="1:5" ht="12.75" hidden="1" customHeight="1" outlineLevel="1">
      <c r="A170" s="69" t="str">
        <f>"         "&amp;Labels!B92</f>
        <v xml:space="preserve">         Series A</v>
      </c>
      <c r="B170" s="74">
        <f t="shared" si="15"/>
        <v>0</v>
      </c>
      <c r="C170" s="74">
        <f t="shared" si="15"/>
        <v>0</v>
      </c>
      <c r="D170" s="74">
        <f t="shared" si="15"/>
        <v>0</v>
      </c>
      <c r="E170" s="20">
        <f>SUM(B170:D170)</f>
        <v>0</v>
      </c>
    </row>
    <row r="171" spans="1:5" ht="12.75" hidden="1" customHeight="1" outlineLevel="1">
      <c r="A171" s="69" t="str">
        <f>"         "&amp;Labels!C90</f>
        <v xml:space="preserve">         Subtotal</v>
      </c>
      <c r="B171" s="73">
        <f>SUM(B169:B170)</f>
        <v>0</v>
      </c>
      <c r="C171" s="73">
        <f>SUM(C169:C170)</f>
        <v>0</v>
      </c>
      <c r="D171" s="73">
        <f>SUM(D169:D170)</f>
        <v>0</v>
      </c>
      <c r="E171" s="20">
        <f>SUM(E169:E170)</f>
        <v>0</v>
      </c>
    </row>
    <row r="172" spans="1:5" ht="12.75" hidden="1" customHeight="1" outlineLevel="1">
      <c r="A172" s="13" t="str">
        <f>"      "&amp;Labels!C82</f>
        <v xml:space="preserve">      Total</v>
      </c>
      <c r="B172" s="72">
        <f>SUM(B162,B165:B167,B171)</f>
        <v>100000</v>
      </c>
      <c r="C172" s="72">
        <f>SUM(C162,C165:C167,C171)</f>
        <v>100000</v>
      </c>
      <c r="D172" s="72">
        <f>SUM(D162,D165:D167,D171)</f>
        <v>100000</v>
      </c>
      <c r="E172" s="20">
        <f>SUM(E162,E165:E167,E171)</f>
        <v>300000</v>
      </c>
    </row>
    <row r="173" spans="1:5" ht="12.75" hidden="1" customHeight="1" outlineLevel="1">
      <c r="A173" s="13" t="str">
        <f>"   "&amp;Labels!B74</f>
        <v xml:space="preserve">   Convert</v>
      </c>
      <c r="B173" s="72"/>
      <c r="C173" s="72"/>
      <c r="D173" s="72"/>
      <c r="E173" s="20"/>
    </row>
    <row r="174" spans="1:5" ht="12.75" hidden="1" customHeight="1" outlineLevel="1">
      <c r="A174" s="69" t="str">
        <f>"      "&amp;Labels!B83</f>
        <v xml:space="preserve">      Conv Note</v>
      </c>
      <c r="B174" s="73"/>
      <c r="C174" s="73"/>
      <c r="D174" s="73"/>
      <c r="E174" s="20"/>
    </row>
    <row r="175" spans="1:5" ht="12.75" hidden="1" customHeight="1" outlineLevel="1">
      <c r="A175" s="69" t="str">
        <f>"         "&amp;Labels!B84</f>
        <v xml:space="preserve">         Series B</v>
      </c>
      <c r="B175" s="74">
        <f t="shared" ref="B175:D176" si="16">B98</f>
        <v>0</v>
      </c>
      <c r="C175" s="74">
        <f t="shared" si="16"/>
        <v>0</v>
      </c>
      <c r="D175" s="74">
        <f t="shared" si="16"/>
        <v>0</v>
      </c>
      <c r="E175" s="20">
        <f>SUM(B175:D175)</f>
        <v>0</v>
      </c>
    </row>
    <row r="176" spans="1:5" ht="12.75" hidden="1" customHeight="1" outlineLevel="1">
      <c r="A176" s="69" t="str">
        <f>"         "&amp;Labels!B85</f>
        <v xml:space="preserve">         Series A</v>
      </c>
      <c r="B176" s="74">
        <f t="shared" si="16"/>
        <v>0</v>
      </c>
      <c r="C176" s="74">
        <f t="shared" si="16"/>
        <v>0</v>
      </c>
      <c r="D176" s="74">
        <f t="shared" si="16"/>
        <v>0</v>
      </c>
      <c r="E176" s="20">
        <f>SUM(B176:D176)</f>
        <v>0</v>
      </c>
    </row>
    <row r="177" spans="1:5" ht="12.75" hidden="1" customHeight="1" outlineLevel="1">
      <c r="A177" s="69" t="str">
        <f>"         "&amp;Labels!C83</f>
        <v xml:space="preserve">         Subtotal</v>
      </c>
      <c r="B177" s="73">
        <f>SUM(B175:B176)</f>
        <v>0</v>
      </c>
      <c r="C177" s="73">
        <f>SUM(C175:C176)</f>
        <v>0</v>
      </c>
      <c r="D177" s="73">
        <f>SUM(D175:D176)</f>
        <v>0</v>
      </c>
      <c r="E177" s="20">
        <f>SUM(E175:E176)</f>
        <v>0</v>
      </c>
    </row>
    <row r="178" spans="1:5" ht="12.75" hidden="1" customHeight="1" outlineLevel="1">
      <c r="A178" s="69" t="str">
        <f>"      "&amp;Labels!B86</f>
        <v xml:space="preserve">      Preferred</v>
      </c>
      <c r="B178" s="73"/>
      <c r="C178" s="73"/>
      <c r="D178" s="73"/>
      <c r="E178" s="20"/>
    </row>
    <row r="179" spans="1:5" ht="12.75" hidden="1" customHeight="1" outlineLevel="1">
      <c r="A179" s="69" t="str">
        <f>"         "&amp;Labels!B87</f>
        <v xml:space="preserve">         Series A</v>
      </c>
      <c r="B179" s="74">
        <f>B102</f>
        <v>0</v>
      </c>
      <c r="C179" s="74">
        <f>C102</f>
        <v>0</v>
      </c>
      <c r="D179" s="74">
        <f>D102</f>
        <v>0</v>
      </c>
      <c r="E179" s="20">
        <f>SUM(B179:D179)</f>
        <v>0</v>
      </c>
    </row>
    <row r="180" spans="1:5" ht="12.75" hidden="1" customHeight="1" outlineLevel="1">
      <c r="A180" s="69" t="str">
        <f>"         "&amp;Labels!C86</f>
        <v xml:space="preserve">         Subtotal</v>
      </c>
      <c r="B180" s="73">
        <f>B179</f>
        <v>0</v>
      </c>
      <c r="C180" s="73">
        <f>C179</f>
        <v>0</v>
      </c>
      <c r="D180" s="73">
        <f>D179</f>
        <v>0</v>
      </c>
      <c r="E180" s="20">
        <f>E179</f>
        <v>0</v>
      </c>
    </row>
    <row r="181" spans="1:5" ht="12.75" hidden="1" customHeight="1" outlineLevel="1">
      <c r="A181" s="69" t="str">
        <f>"      "&amp;Labels!B88</f>
        <v xml:space="preserve">      Common</v>
      </c>
      <c r="B181" s="73">
        <f t="shared" ref="B181:D182" si="17">B104</f>
        <v>0</v>
      </c>
      <c r="C181" s="73">
        <f t="shared" si="17"/>
        <v>0</v>
      </c>
      <c r="D181" s="73">
        <f t="shared" si="17"/>
        <v>0</v>
      </c>
      <c r="E181" s="20">
        <f>SUM(B181:D181)</f>
        <v>0</v>
      </c>
    </row>
    <row r="182" spans="1:5" ht="12.75" hidden="1" customHeight="1" outlineLevel="1">
      <c r="A182" s="69" t="str">
        <f>"      "&amp;Labels!B89</f>
        <v xml:space="preserve">      Warrant</v>
      </c>
      <c r="B182" s="73">
        <f t="shared" si="17"/>
        <v>0</v>
      </c>
      <c r="C182" s="73">
        <f t="shared" si="17"/>
        <v>0</v>
      </c>
      <c r="D182" s="73">
        <f t="shared" si="17"/>
        <v>0</v>
      </c>
      <c r="E182" s="20">
        <f>SUM(B182:D182)</f>
        <v>0</v>
      </c>
    </row>
    <row r="183" spans="1:5" ht="12.75" hidden="1" customHeight="1" outlineLevel="1">
      <c r="A183" s="69" t="str">
        <f>"      "&amp;Labels!B90</f>
        <v xml:space="preserve">      Option</v>
      </c>
      <c r="B183" s="73"/>
      <c r="C183" s="73"/>
      <c r="D183" s="73"/>
      <c r="E183" s="20"/>
    </row>
    <row r="184" spans="1:5" ht="12.75" hidden="1" customHeight="1" outlineLevel="1">
      <c r="A184" s="69" t="str">
        <f>"         "&amp;Labels!B91</f>
        <v xml:space="preserve">         Series B</v>
      </c>
      <c r="B184" s="74">
        <f t="shared" ref="B184:D185" si="18">B107</f>
        <v>0</v>
      </c>
      <c r="C184" s="74">
        <f t="shared" si="18"/>
        <v>0</v>
      </c>
      <c r="D184" s="74">
        <f t="shared" si="18"/>
        <v>0</v>
      </c>
      <c r="E184" s="20">
        <f>SUM(B184:D184)</f>
        <v>0</v>
      </c>
    </row>
    <row r="185" spans="1:5" ht="12.75" hidden="1" customHeight="1" outlineLevel="1">
      <c r="A185" s="69" t="str">
        <f>"         "&amp;Labels!B92</f>
        <v xml:space="preserve">         Series A</v>
      </c>
      <c r="B185" s="74">
        <f t="shared" si="18"/>
        <v>0</v>
      </c>
      <c r="C185" s="74">
        <f t="shared" si="18"/>
        <v>0</v>
      </c>
      <c r="D185" s="74">
        <f t="shared" si="18"/>
        <v>0</v>
      </c>
      <c r="E185" s="20">
        <f>SUM(B185:D185)</f>
        <v>0</v>
      </c>
    </row>
    <row r="186" spans="1:5" ht="12.75" hidden="1" customHeight="1" outlineLevel="1">
      <c r="A186" s="69" t="str">
        <f>"         "&amp;Labels!C90</f>
        <v xml:space="preserve">         Subtotal</v>
      </c>
      <c r="B186" s="73">
        <f>SUM(B184:B185)</f>
        <v>0</v>
      </c>
      <c r="C186" s="73">
        <f>SUM(C184:C185)</f>
        <v>0</v>
      </c>
      <c r="D186" s="73">
        <f>SUM(D184:D185)</f>
        <v>0</v>
      </c>
      <c r="E186" s="20">
        <f>SUM(E184:E185)</f>
        <v>0</v>
      </c>
    </row>
    <row r="187" spans="1:5" ht="12.75" hidden="1" customHeight="1" outlineLevel="1">
      <c r="A187" s="13" t="str">
        <f>"      "&amp;Labels!C82</f>
        <v xml:space="preserve">      Total</v>
      </c>
      <c r="B187" s="72">
        <f>SUM(B177,B180:B182,B186)</f>
        <v>0</v>
      </c>
      <c r="C187" s="72">
        <f>SUM(C177,C180:C182,C186)</f>
        <v>0</v>
      </c>
      <c r="D187" s="72">
        <f>SUM(D177,D180:D182,D186)</f>
        <v>0</v>
      </c>
      <c r="E187" s="20">
        <f>SUM(E177,E180:E182,E186)</f>
        <v>0</v>
      </c>
    </row>
    <row r="188" spans="1:5" ht="12.75" hidden="1" customHeight="1" outlineLevel="1">
      <c r="A188" s="13" t="str">
        <f>"   "&amp;Labels!B75</f>
        <v xml:space="preserve">   End</v>
      </c>
      <c r="B188" s="72"/>
      <c r="C188" s="72"/>
      <c r="D188" s="72"/>
      <c r="E188" s="20"/>
    </row>
    <row r="189" spans="1:5" ht="12.75" hidden="1" customHeight="1" outlineLevel="1">
      <c r="A189" s="69" t="str">
        <f>"      "&amp;Labels!B83</f>
        <v xml:space="preserve">      Conv Note</v>
      </c>
      <c r="B189" s="73"/>
      <c r="C189" s="73"/>
      <c r="D189" s="73"/>
      <c r="E189" s="20"/>
    </row>
    <row r="190" spans="1:5" ht="12.75" hidden="1" customHeight="1" outlineLevel="1">
      <c r="A190" s="69" t="str">
        <f>"         "&amp;Labels!B84</f>
        <v xml:space="preserve">         Series B</v>
      </c>
      <c r="B190" s="74">
        <f t="shared" ref="B190:D191" si="19">B160+B175</f>
        <v>0</v>
      </c>
      <c r="C190" s="74">
        <f t="shared" si="19"/>
        <v>0</v>
      </c>
      <c r="D190" s="74">
        <f t="shared" si="19"/>
        <v>0</v>
      </c>
      <c r="E190" s="20">
        <f>SUM(B190:D190)</f>
        <v>0</v>
      </c>
    </row>
    <row r="191" spans="1:5" ht="12.75" hidden="1" customHeight="1" outlineLevel="1">
      <c r="A191" s="69" t="str">
        <f>"         "&amp;Labels!B85</f>
        <v xml:space="preserve">         Series A</v>
      </c>
      <c r="B191" s="74">
        <f t="shared" si="19"/>
        <v>0</v>
      </c>
      <c r="C191" s="74">
        <f t="shared" si="19"/>
        <v>0</v>
      </c>
      <c r="D191" s="74">
        <f t="shared" si="19"/>
        <v>0</v>
      </c>
      <c r="E191" s="20">
        <f>SUM(B191:D191)</f>
        <v>0</v>
      </c>
    </row>
    <row r="192" spans="1:5" ht="12.75" hidden="1" customHeight="1" outlineLevel="1">
      <c r="A192" s="69" t="str">
        <f>"         "&amp;Labels!C83</f>
        <v xml:space="preserve">         Subtotal</v>
      </c>
      <c r="B192" s="73">
        <f>SUM(B190:B191)</f>
        <v>0</v>
      </c>
      <c r="C192" s="73">
        <f>SUM(C190:C191)</f>
        <v>0</v>
      </c>
      <c r="D192" s="73">
        <f>SUM(D190:D191)</f>
        <v>0</v>
      </c>
      <c r="E192" s="20">
        <f>SUM(E190:E191)</f>
        <v>0</v>
      </c>
    </row>
    <row r="193" spans="1:5" ht="12.75" hidden="1" customHeight="1" outlineLevel="1">
      <c r="A193" s="69" t="str">
        <f>"      "&amp;Labels!B86</f>
        <v xml:space="preserve">      Preferred</v>
      </c>
      <c r="B193" s="73"/>
      <c r="C193" s="73"/>
      <c r="D193" s="73"/>
      <c r="E193" s="20"/>
    </row>
    <row r="194" spans="1:5" ht="12.75" hidden="1" customHeight="1" outlineLevel="1">
      <c r="A194" s="69" t="str">
        <f>"         "&amp;Labels!B87</f>
        <v xml:space="preserve">         Series A</v>
      </c>
      <c r="B194" s="74">
        <f>B164+B179</f>
        <v>0</v>
      </c>
      <c r="C194" s="74">
        <f>C164+C179</f>
        <v>0</v>
      </c>
      <c r="D194" s="74">
        <f>D164+D179</f>
        <v>0</v>
      </c>
      <c r="E194" s="20">
        <f>SUM(B194:D194)</f>
        <v>0</v>
      </c>
    </row>
    <row r="195" spans="1:5" ht="12.75" hidden="1" customHeight="1" outlineLevel="1">
      <c r="A195" s="69" t="str">
        <f>"         "&amp;Labels!C86</f>
        <v xml:space="preserve">         Subtotal</v>
      </c>
      <c r="B195" s="73">
        <f>B194</f>
        <v>0</v>
      </c>
      <c r="C195" s="73">
        <f>C194</f>
        <v>0</v>
      </c>
      <c r="D195" s="73">
        <f>D194</f>
        <v>0</v>
      </c>
      <c r="E195" s="20">
        <f>E194</f>
        <v>0</v>
      </c>
    </row>
    <row r="196" spans="1:5" ht="12.75" hidden="1" customHeight="1" outlineLevel="1">
      <c r="A196" s="69" t="str">
        <f>"      "&amp;Labels!B88</f>
        <v xml:space="preserve">      Common</v>
      </c>
      <c r="B196" s="73">
        <f t="shared" ref="B196:D197" si="20">B166+B181</f>
        <v>100000</v>
      </c>
      <c r="C196" s="73">
        <f t="shared" si="20"/>
        <v>100000</v>
      </c>
      <c r="D196" s="73">
        <f t="shared" si="20"/>
        <v>100000</v>
      </c>
      <c r="E196" s="20">
        <f>SUM(B196:D196)</f>
        <v>300000</v>
      </c>
    </row>
    <row r="197" spans="1:5" ht="12.75" hidden="1" customHeight="1" outlineLevel="1">
      <c r="A197" s="69" t="str">
        <f>"      "&amp;Labels!B89</f>
        <v xml:space="preserve">      Warrant</v>
      </c>
      <c r="B197" s="73">
        <f t="shared" si="20"/>
        <v>0</v>
      </c>
      <c r="C197" s="73">
        <f t="shared" si="20"/>
        <v>0</v>
      </c>
      <c r="D197" s="73">
        <f t="shared" si="20"/>
        <v>0</v>
      </c>
      <c r="E197" s="20">
        <f>SUM(B197:D197)</f>
        <v>0</v>
      </c>
    </row>
    <row r="198" spans="1:5" ht="12.75" hidden="1" customHeight="1" outlineLevel="1">
      <c r="A198" s="69" t="str">
        <f>"      "&amp;Labels!B90</f>
        <v xml:space="preserve">      Option</v>
      </c>
      <c r="B198" s="73"/>
      <c r="C198" s="73"/>
      <c r="D198" s="73"/>
      <c r="E198" s="20"/>
    </row>
    <row r="199" spans="1:5" ht="12.75" hidden="1" customHeight="1" outlineLevel="1">
      <c r="A199" s="69" t="str">
        <f>"         "&amp;Labels!B91</f>
        <v xml:space="preserve">         Series B</v>
      </c>
      <c r="B199" s="74">
        <f t="shared" ref="B199:D200" si="21">B169+B184</f>
        <v>0</v>
      </c>
      <c r="C199" s="74">
        <f t="shared" si="21"/>
        <v>0</v>
      </c>
      <c r="D199" s="74">
        <f t="shared" si="21"/>
        <v>0</v>
      </c>
      <c r="E199" s="20">
        <f>SUM(B199:D199)</f>
        <v>0</v>
      </c>
    </row>
    <row r="200" spans="1:5" ht="12.75" hidden="1" customHeight="1" outlineLevel="1">
      <c r="A200" s="69" t="str">
        <f>"         "&amp;Labels!B92</f>
        <v xml:space="preserve">         Series A</v>
      </c>
      <c r="B200" s="74">
        <f t="shared" si="21"/>
        <v>0</v>
      </c>
      <c r="C200" s="74">
        <f t="shared" si="21"/>
        <v>0</v>
      </c>
      <c r="D200" s="74">
        <f t="shared" si="21"/>
        <v>0</v>
      </c>
      <c r="E200" s="20">
        <f>SUM(B200:D200)</f>
        <v>0</v>
      </c>
    </row>
    <row r="201" spans="1:5" ht="12.75" hidden="1" customHeight="1" outlineLevel="1">
      <c r="A201" s="69" t="str">
        <f>"         "&amp;Labels!C90</f>
        <v xml:space="preserve">         Subtotal</v>
      </c>
      <c r="B201" s="73">
        <f>SUM(B199:B200)</f>
        <v>0</v>
      </c>
      <c r="C201" s="73">
        <f>SUM(C199:C200)</f>
        <v>0</v>
      </c>
      <c r="D201" s="73">
        <f>SUM(D199:D200)</f>
        <v>0</v>
      </c>
      <c r="E201" s="20">
        <f>SUM(E199:E200)</f>
        <v>0</v>
      </c>
    </row>
    <row r="202" spans="1:5" ht="12.75" hidden="1" customHeight="1" outlineLevel="1">
      <c r="A202" s="15" t="str">
        <f>"      "&amp;Labels!C82</f>
        <v xml:space="preserve">      Total</v>
      </c>
      <c r="B202" s="75">
        <f>SUM(B192,B195:B197,B201)</f>
        <v>100000</v>
      </c>
      <c r="C202" s="75">
        <f>SUM(C192,C195:C197,C201)</f>
        <v>100000</v>
      </c>
      <c r="D202" s="75">
        <f>SUM(D192,D195:D197,D201)</f>
        <v>100000</v>
      </c>
      <c r="E202" s="23">
        <f>SUM(E192,E195:E197,E201)</f>
        <v>300000</v>
      </c>
    </row>
    <row r="203" spans="1:5" ht="12.75" hidden="1" customHeight="1" outlineLevel="1"/>
    <row r="204" spans="1:5" ht="12.75" hidden="1" customHeight="1" outlineLevel="1" collapsed="1"/>
    <row r="205" spans="1:5" ht="12.75" customHeight="1" collapsed="1"/>
    <row r="206" spans="1:5" ht="12.75" customHeight="1" collapsed="1">
      <c r="A206" s="215" t="str">
        <f>"Net Investment"</f>
        <v>Net Investment</v>
      </c>
      <c r="B206" s="215"/>
    </row>
    <row r="207" spans="1:5" ht="12.75" hidden="1" customHeight="1" outlineLevel="1">
      <c r="A207" s="1" t="str">
        <f>" "</f>
        <v xml:space="preserve"> </v>
      </c>
    </row>
    <row r="208" spans="1:5" ht="12.75" hidden="1" customHeight="1" outlineLevel="1">
      <c r="B208" s="6" t="str">
        <f>Labels!B78</f>
        <v>Seed</v>
      </c>
      <c r="C208" s="7" t="str">
        <f>Labels!B79</f>
        <v>Round A</v>
      </c>
      <c r="D208" s="8" t="str">
        <f>Labels!B80</f>
        <v>Exit</v>
      </c>
    </row>
    <row r="209" spans="1:5" ht="12.75" hidden="1" customHeight="1" outlineLevel="1">
      <c r="A209" s="4" t="str">
        <f>Labels!B19</f>
        <v>Event Date</v>
      </c>
      <c r="B209" s="76">
        <f>Inputs!B14</f>
        <v>40391</v>
      </c>
      <c r="C209" s="76">
        <f>Inputs!C14</f>
        <v>40725</v>
      </c>
      <c r="D209" s="77">
        <f>Inputs!D14</f>
        <v>41061</v>
      </c>
    </row>
    <row r="210" spans="1:5" ht="12.75" hidden="1" customHeight="1" outlineLevel="1"/>
    <row r="211" spans="1:5" ht="12.75" hidden="1" customHeight="1" outlineLevel="1">
      <c r="A211" s="11" t="str">
        <f>Labels!B27</f>
        <v>Net Investment</v>
      </c>
      <c r="B211" s="18"/>
      <c r="C211" s="18"/>
      <c r="D211" s="18"/>
      <c r="E211" s="12"/>
    </row>
    <row r="212" spans="1:5" ht="12.75" hidden="1" customHeight="1" outlineLevel="1">
      <c r="A212" s="13" t="str">
        <f>"   "&amp;Labels!B71</f>
        <v xml:space="preserve">   Start</v>
      </c>
      <c r="B212" s="72"/>
      <c r="C212" s="72"/>
      <c r="D212" s="72"/>
      <c r="E212" s="20"/>
    </row>
    <row r="213" spans="1:5" ht="12.75" hidden="1" customHeight="1" outlineLevel="1">
      <c r="A213" s="69" t="str">
        <f>"      "&amp;Labels!B83</f>
        <v xml:space="preserve">      Conv Note</v>
      </c>
      <c r="B213" s="73"/>
      <c r="C213" s="73"/>
      <c r="D213" s="73"/>
      <c r="E213" s="20"/>
    </row>
    <row r="214" spans="1:5" ht="12.75" hidden="1" customHeight="1" outlineLevel="1">
      <c r="A214" s="69" t="str">
        <f>"         "&amp;Labels!B84</f>
        <v xml:space="preserve">         Series B</v>
      </c>
      <c r="B214" s="74">
        <f>0+B290</f>
        <v>0</v>
      </c>
      <c r="C214" s="74">
        <f>B274+C290</f>
        <v>0</v>
      </c>
      <c r="D214" s="74">
        <f>C274+D290</f>
        <v>0</v>
      </c>
      <c r="E214" s="20">
        <f>SUM(B214:D214)</f>
        <v>0</v>
      </c>
    </row>
    <row r="215" spans="1:5" ht="12.75" hidden="1" customHeight="1" outlineLevel="1">
      <c r="A215" s="69" t="str">
        <f>"         "&amp;Labels!B85</f>
        <v xml:space="preserve">         Series A</v>
      </c>
      <c r="B215" s="74">
        <f>0+B291</f>
        <v>0</v>
      </c>
      <c r="C215" s="74">
        <f>B275+C291</f>
        <v>0</v>
      </c>
      <c r="D215" s="74">
        <f>C275+D291</f>
        <v>0</v>
      </c>
      <c r="E215" s="20">
        <f>SUM(B215:D215)</f>
        <v>0</v>
      </c>
    </row>
    <row r="216" spans="1:5" ht="12.75" hidden="1" customHeight="1" outlineLevel="1">
      <c r="A216" s="69" t="str">
        <f>"         "&amp;Labels!C83</f>
        <v xml:space="preserve">         Subtotal</v>
      </c>
      <c r="B216" s="73">
        <f>SUM(B214:B215)</f>
        <v>0</v>
      </c>
      <c r="C216" s="73">
        <f>SUM(C214:C215)</f>
        <v>0</v>
      </c>
      <c r="D216" s="73">
        <f>SUM(D214:D215)</f>
        <v>0</v>
      </c>
      <c r="E216" s="20">
        <f>SUM(E214:E215)</f>
        <v>0</v>
      </c>
    </row>
    <row r="217" spans="1:5" ht="12.75" hidden="1" customHeight="1" outlineLevel="1">
      <c r="A217" s="69" t="str">
        <f>"      "&amp;Labels!B86</f>
        <v xml:space="preserve">      Preferred</v>
      </c>
      <c r="B217" s="73"/>
      <c r="C217" s="73"/>
      <c r="D217" s="73"/>
      <c r="E217" s="20"/>
    </row>
    <row r="218" spans="1:5" ht="12.75" hidden="1" customHeight="1" outlineLevel="1">
      <c r="A218" s="69" t="str">
        <f>"         "&amp;Labels!B87</f>
        <v xml:space="preserve">         Series A</v>
      </c>
      <c r="B218" s="74">
        <f>0+B294</f>
        <v>0</v>
      </c>
      <c r="C218" s="74">
        <f>B278+C294</f>
        <v>0</v>
      </c>
      <c r="D218" s="74">
        <f>C278+D294</f>
        <v>0</v>
      </c>
      <c r="E218" s="20">
        <f>SUM(B218:D218)</f>
        <v>0</v>
      </c>
    </row>
    <row r="219" spans="1:5" ht="12.75" hidden="1" customHeight="1" outlineLevel="1">
      <c r="A219" s="69" t="str">
        <f>"         "&amp;Labels!C86</f>
        <v xml:space="preserve">         Subtotal</v>
      </c>
      <c r="B219" s="73">
        <f>B218</f>
        <v>0</v>
      </c>
      <c r="C219" s="73">
        <f>C218</f>
        <v>0</v>
      </c>
      <c r="D219" s="73">
        <f>D218</f>
        <v>0</v>
      </c>
      <c r="E219" s="20">
        <f>E218</f>
        <v>0</v>
      </c>
    </row>
    <row r="220" spans="1:5" ht="12.75" hidden="1" customHeight="1" outlineLevel="1">
      <c r="A220" s="69" t="str">
        <f>"      "&amp;Labels!B88</f>
        <v xml:space="preserve">      Common</v>
      </c>
      <c r="B220" s="73">
        <f>0+B296</f>
        <v>0</v>
      </c>
      <c r="C220" s="73">
        <f>B280+C296</f>
        <v>100000</v>
      </c>
      <c r="D220" s="73">
        <f>C280+D296</f>
        <v>100000</v>
      </c>
      <c r="E220" s="20">
        <f>SUM(B220:D220)</f>
        <v>200000</v>
      </c>
    </row>
    <row r="221" spans="1:5" ht="12.75" hidden="1" customHeight="1" outlineLevel="1">
      <c r="A221" s="69" t="str">
        <f>"      "&amp;Labels!B89</f>
        <v xml:space="preserve">      Warrant</v>
      </c>
      <c r="B221" s="73">
        <f>0+B297</f>
        <v>0</v>
      </c>
      <c r="C221" s="73">
        <f>B281+C297</f>
        <v>0</v>
      </c>
      <c r="D221" s="73">
        <f>C281+D297</f>
        <v>0</v>
      </c>
      <c r="E221" s="20">
        <f>SUM(B221:D221)</f>
        <v>0</v>
      </c>
    </row>
    <row r="222" spans="1:5" ht="12.75" hidden="1" customHeight="1" outlineLevel="1">
      <c r="A222" s="69" t="str">
        <f>"      "&amp;Labels!B90</f>
        <v xml:space="preserve">      Option</v>
      </c>
      <c r="B222" s="73"/>
      <c r="C222" s="73"/>
      <c r="D222" s="73"/>
      <c r="E222" s="20"/>
    </row>
    <row r="223" spans="1:5" ht="12.75" hidden="1" customHeight="1" outlineLevel="1">
      <c r="A223" s="69" t="str">
        <f>"         "&amp;Labels!B91</f>
        <v xml:space="preserve">         Series B</v>
      </c>
      <c r="B223" s="74">
        <f>0+B299</f>
        <v>0</v>
      </c>
      <c r="C223" s="74">
        <f>B283+C299</f>
        <v>0</v>
      </c>
      <c r="D223" s="74">
        <f>C283+D299</f>
        <v>0</v>
      </c>
      <c r="E223" s="20">
        <f>SUM(B223:D223)</f>
        <v>0</v>
      </c>
    </row>
    <row r="224" spans="1:5" ht="12.75" hidden="1" customHeight="1" outlineLevel="1">
      <c r="A224" s="69" t="str">
        <f>"         "&amp;Labels!B92</f>
        <v xml:space="preserve">         Series A</v>
      </c>
      <c r="B224" s="74">
        <f>0+B300</f>
        <v>0</v>
      </c>
      <c r="C224" s="74">
        <f>B284+C300</f>
        <v>0</v>
      </c>
      <c r="D224" s="74">
        <f>C284+D300</f>
        <v>0</v>
      </c>
      <c r="E224" s="20">
        <f>SUM(B224:D224)</f>
        <v>0</v>
      </c>
    </row>
    <row r="225" spans="1:5" ht="12.75" hidden="1" customHeight="1" outlineLevel="1">
      <c r="A225" s="69" t="str">
        <f>"         "&amp;Labels!C90</f>
        <v xml:space="preserve">         Subtotal</v>
      </c>
      <c r="B225" s="73">
        <f>SUM(B223:B224)</f>
        <v>0</v>
      </c>
      <c r="C225" s="73">
        <f>SUM(C223:C224)</f>
        <v>0</v>
      </c>
      <c r="D225" s="73">
        <f>SUM(D223:D224)</f>
        <v>0</v>
      </c>
      <c r="E225" s="20">
        <f>SUM(E223:E224)</f>
        <v>0</v>
      </c>
    </row>
    <row r="226" spans="1:5" ht="12.75" hidden="1" customHeight="1" outlineLevel="1">
      <c r="A226" s="13" t="str">
        <f>"      "&amp;Labels!C82</f>
        <v xml:space="preserve">      Total</v>
      </c>
      <c r="B226" s="72">
        <f>SUM(B216,B219:B221,B225)</f>
        <v>0</v>
      </c>
      <c r="C226" s="72">
        <f>SUM(C216,C219:C221,C225)</f>
        <v>100000</v>
      </c>
      <c r="D226" s="72">
        <f>SUM(D216,D219:D221,D225)</f>
        <v>100000</v>
      </c>
      <c r="E226" s="20">
        <f>SUM(E216,E219:E221,E225)</f>
        <v>200000</v>
      </c>
    </row>
    <row r="227" spans="1:5" ht="12.75" hidden="1" customHeight="1" outlineLevel="1">
      <c r="A227" s="13" t="str">
        <f>"   "&amp;Labels!B72</f>
        <v xml:space="preserve">   New Sales</v>
      </c>
      <c r="B227" s="72"/>
      <c r="C227" s="72"/>
      <c r="D227" s="72"/>
      <c r="E227" s="20"/>
    </row>
    <row r="228" spans="1:5" ht="12.75" hidden="1" customHeight="1" outlineLevel="1">
      <c r="A228" s="69" t="str">
        <f>"      "&amp;Labels!B83</f>
        <v xml:space="preserve">      Conv Note</v>
      </c>
      <c r="B228" s="73"/>
      <c r="C228" s="73"/>
      <c r="D228" s="73"/>
      <c r="E228" s="20"/>
    </row>
    <row r="229" spans="1:5" ht="12.75" hidden="1" customHeight="1" outlineLevel="1">
      <c r="A229" s="69" t="str">
        <f>"         "&amp;Labels!B84</f>
        <v xml:space="preserve">         Series B</v>
      </c>
      <c r="B229" s="74">
        <f>'(Other Computations)'!B220</f>
        <v>0</v>
      </c>
      <c r="C229" s="74">
        <f>'(Other Computations)'!C220</f>
        <v>0</v>
      </c>
      <c r="D229" s="74">
        <f>'(Other Computations)'!D220</f>
        <v>0</v>
      </c>
      <c r="E229" s="20">
        <f>SUM(B229:D229)</f>
        <v>0</v>
      </c>
    </row>
    <row r="230" spans="1:5" ht="12.75" hidden="1" customHeight="1" outlineLevel="1">
      <c r="A230" s="69" t="str">
        <f>"         "&amp;Labels!B85</f>
        <v xml:space="preserve">         Series A</v>
      </c>
      <c r="B230" s="74">
        <f>'(Other Computations)'!B221</f>
        <v>0</v>
      </c>
      <c r="C230" s="74">
        <f>'(Other Computations)'!C221</f>
        <v>0</v>
      </c>
      <c r="D230" s="74">
        <f>'(Other Computations)'!D221</f>
        <v>0</v>
      </c>
      <c r="E230" s="20">
        <f>SUM(B230:D230)</f>
        <v>0</v>
      </c>
    </row>
    <row r="231" spans="1:5" ht="12.75" hidden="1" customHeight="1" outlineLevel="1">
      <c r="A231" s="69" t="str">
        <f>"         "&amp;Labels!C83</f>
        <v xml:space="preserve">         Subtotal</v>
      </c>
      <c r="B231" s="73">
        <f>SUM(B229:B230)</f>
        <v>0</v>
      </c>
      <c r="C231" s="73">
        <f>SUM(C229:C230)</f>
        <v>0</v>
      </c>
      <c r="D231" s="73">
        <f>SUM(D229:D230)</f>
        <v>0</v>
      </c>
      <c r="E231" s="20">
        <f>SUM(E229:E230)</f>
        <v>0</v>
      </c>
    </row>
    <row r="232" spans="1:5" ht="12.75" hidden="1" customHeight="1" outlineLevel="1">
      <c r="A232" s="69" t="str">
        <f>"      "&amp;Labels!B86</f>
        <v xml:space="preserve">      Preferred</v>
      </c>
      <c r="B232" s="73"/>
      <c r="C232" s="73"/>
      <c r="D232" s="73"/>
      <c r="E232" s="20"/>
    </row>
    <row r="233" spans="1:5" ht="12.75" hidden="1" customHeight="1" outlineLevel="1">
      <c r="A233" s="69" t="str">
        <f>"         "&amp;Labels!B87</f>
        <v xml:space="preserve">         Series A</v>
      </c>
      <c r="B233" s="74">
        <f>'(Other Computations)'!B224</f>
        <v>0</v>
      </c>
      <c r="C233" s="74">
        <f>'(Other Computations)'!C224</f>
        <v>0</v>
      </c>
      <c r="D233" s="74">
        <f>'(Other Computations)'!D224</f>
        <v>0</v>
      </c>
      <c r="E233" s="20">
        <f>SUM(B233:D233)</f>
        <v>0</v>
      </c>
    </row>
    <row r="234" spans="1:5" ht="12.75" hidden="1" customHeight="1" outlineLevel="1">
      <c r="A234" s="69" t="str">
        <f>"         "&amp;Labels!C86</f>
        <v xml:space="preserve">         Subtotal</v>
      </c>
      <c r="B234" s="73">
        <f>B233</f>
        <v>0</v>
      </c>
      <c r="C234" s="73">
        <f>C233</f>
        <v>0</v>
      </c>
      <c r="D234" s="73">
        <f>D233</f>
        <v>0</v>
      </c>
      <c r="E234" s="20">
        <f>E233</f>
        <v>0</v>
      </c>
    </row>
    <row r="235" spans="1:5" ht="12.75" hidden="1" customHeight="1" outlineLevel="1">
      <c r="A235" s="69" t="str">
        <f>"      "&amp;Labels!B88</f>
        <v xml:space="preserve">      Common</v>
      </c>
      <c r="B235" s="73">
        <f>'(Other Computations)'!B226</f>
        <v>100000</v>
      </c>
      <c r="C235" s="73">
        <f>'(Other Computations)'!C226</f>
        <v>0</v>
      </c>
      <c r="D235" s="73">
        <f>'(Other Computations)'!D226</f>
        <v>0</v>
      </c>
      <c r="E235" s="20">
        <f>SUM(B235:D235)</f>
        <v>100000</v>
      </c>
    </row>
    <row r="236" spans="1:5" ht="12.75" hidden="1" customHeight="1" outlineLevel="1">
      <c r="A236" s="69" t="str">
        <f>"      "&amp;Labels!B89</f>
        <v xml:space="preserve">      Warrant</v>
      </c>
      <c r="B236" s="73">
        <f>Shares!B73*Prices!B21</f>
        <v>0</v>
      </c>
      <c r="C236" s="73">
        <f>Shares!C73*Prices!C21</f>
        <v>0</v>
      </c>
      <c r="D236" s="73">
        <f>Shares!D73*Prices!D21</f>
        <v>0</v>
      </c>
      <c r="E236" s="20">
        <f>SUM(B236:D236)</f>
        <v>0</v>
      </c>
    </row>
    <row r="237" spans="1:5" ht="12.75" hidden="1" customHeight="1" outlineLevel="1">
      <c r="A237" s="69" t="str">
        <f>"      "&amp;Labels!B90</f>
        <v xml:space="preserve">      Option</v>
      </c>
      <c r="B237" s="73"/>
      <c r="C237" s="73"/>
      <c r="D237" s="73"/>
      <c r="E237" s="20"/>
    </row>
    <row r="238" spans="1:5" ht="12.75" hidden="1" customHeight="1" outlineLevel="1">
      <c r="A238" s="69" t="str">
        <f>"         "&amp;Labels!B91</f>
        <v xml:space="preserve">         Series B</v>
      </c>
      <c r="B238" s="74">
        <f>Shares!B75*Inputs!B115</f>
        <v>0</v>
      </c>
      <c r="C238" s="74">
        <f>Shares!C75*Inputs!C115</f>
        <v>0</v>
      </c>
      <c r="D238" s="74">
        <f>Shares!D75*Inputs!D115</f>
        <v>0</v>
      </c>
      <c r="E238" s="20">
        <f>SUM(B238:D238)</f>
        <v>0</v>
      </c>
    </row>
    <row r="239" spans="1:5" ht="12.75" hidden="1" customHeight="1" outlineLevel="1">
      <c r="A239" s="69" t="str">
        <f>"         "&amp;Labels!B92</f>
        <v xml:space="preserve">         Series A</v>
      </c>
      <c r="B239" s="74">
        <f>Shares!B76*Inputs!B116</f>
        <v>0</v>
      </c>
      <c r="C239" s="74">
        <f>Shares!C76*Inputs!C116</f>
        <v>0</v>
      </c>
      <c r="D239" s="74">
        <f>Shares!D76*Inputs!D116</f>
        <v>0</v>
      </c>
      <c r="E239" s="20">
        <f>SUM(B239:D239)</f>
        <v>0</v>
      </c>
    </row>
    <row r="240" spans="1:5" ht="12.75" hidden="1" customHeight="1" outlineLevel="1">
      <c r="A240" s="69" t="str">
        <f>"         "&amp;Labels!C90</f>
        <v xml:space="preserve">         Subtotal</v>
      </c>
      <c r="B240" s="73">
        <f>SUM(B238:B239)</f>
        <v>0</v>
      </c>
      <c r="C240" s="73">
        <f>SUM(C238:C239)</f>
        <v>0</v>
      </c>
      <c r="D240" s="73">
        <f>SUM(D238:D239)</f>
        <v>0</v>
      </c>
      <c r="E240" s="20">
        <f>SUM(E238:E239)</f>
        <v>0</v>
      </c>
    </row>
    <row r="241" spans="1:5" ht="12.75" hidden="1" customHeight="1" outlineLevel="1">
      <c r="A241" s="13" t="str">
        <f>"      "&amp;Labels!C82</f>
        <v xml:space="preserve">      Total</v>
      </c>
      <c r="B241" s="72">
        <f>SUM(B231,B234:B236,B240)</f>
        <v>100000</v>
      </c>
      <c r="C241" s="72">
        <f>SUM(C231,C234:C236,C240)</f>
        <v>0</v>
      </c>
      <c r="D241" s="72">
        <f>SUM(D231,D234:D236,D240)</f>
        <v>0</v>
      </c>
      <c r="E241" s="20">
        <f>SUM(E231,E234:E236,E240)</f>
        <v>100000</v>
      </c>
    </row>
    <row r="242" spans="1:5" ht="12.75" hidden="1" customHeight="1" outlineLevel="1">
      <c r="A242" s="13" t="str">
        <f>"   "&amp;Labels!B73</f>
        <v xml:space="preserve">   Post Sales</v>
      </c>
      <c r="B242" s="72"/>
      <c r="C242" s="72"/>
      <c r="D242" s="72"/>
      <c r="E242" s="20"/>
    </row>
    <row r="243" spans="1:5" ht="12.75" hidden="1" customHeight="1" outlineLevel="1">
      <c r="A243" s="69" t="str">
        <f>"      "&amp;Labels!B83</f>
        <v xml:space="preserve">      Conv Note</v>
      </c>
      <c r="B243" s="73"/>
      <c r="C243" s="73"/>
      <c r="D243" s="73"/>
      <c r="E243" s="20"/>
    </row>
    <row r="244" spans="1:5" ht="12.75" hidden="1" customHeight="1" outlineLevel="1">
      <c r="A244" s="69" t="str">
        <f>"         "&amp;Labels!B84</f>
        <v xml:space="preserve">         Series B</v>
      </c>
      <c r="B244" s="74">
        <f t="shared" ref="B244:D245" si="22">B214+B229</f>
        <v>0</v>
      </c>
      <c r="C244" s="74">
        <f t="shared" si="22"/>
        <v>0</v>
      </c>
      <c r="D244" s="74">
        <f t="shared" si="22"/>
        <v>0</v>
      </c>
      <c r="E244" s="20">
        <f>SUM(B244:D244)</f>
        <v>0</v>
      </c>
    </row>
    <row r="245" spans="1:5" ht="12.75" hidden="1" customHeight="1" outlineLevel="1">
      <c r="A245" s="69" t="str">
        <f>"         "&amp;Labels!B85</f>
        <v xml:space="preserve">         Series A</v>
      </c>
      <c r="B245" s="74">
        <f t="shared" si="22"/>
        <v>0</v>
      </c>
      <c r="C245" s="74">
        <f t="shared" si="22"/>
        <v>0</v>
      </c>
      <c r="D245" s="74">
        <f t="shared" si="22"/>
        <v>0</v>
      </c>
      <c r="E245" s="20">
        <f>SUM(B245:D245)</f>
        <v>0</v>
      </c>
    </row>
    <row r="246" spans="1:5" ht="12.75" hidden="1" customHeight="1" outlineLevel="1">
      <c r="A246" s="69" t="str">
        <f>"         "&amp;Labels!C83</f>
        <v xml:space="preserve">         Subtotal</v>
      </c>
      <c r="B246" s="73">
        <f>SUM(B244:B245)</f>
        <v>0</v>
      </c>
      <c r="C246" s="73">
        <f>SUM(C244:C245)</f>
        <v>0</v>
      </c>
      <c r="D246" s="73">
        <f>SUM(D244:D245)</f>
        <v>0</v>
      </c>
      <c r="E246" s="20">
        <f>SUM(E244:E245)</f>
        <v>0</v>
      </c>
    </row>
    <row r="247" spans="1:5" ht="12.75" hidden="1" customHeight="1" outlineLevel="1">
      <c r="A247" s="69" t="str">
        <f>"      "&amp;Labels!B86</f>
        <v xml:space="preserve">      Preferred</v>
      </c>
      <c r="B247" s="73"/>
      <c r="C247" s="73"/>
      <c r="D247" s="73"/>
      <c r="E247" s="20"/>
    </row>
    <row r="248" spans="1:5" ht="12.75" hidden="1" customHeight="1" outlineLevel="1">
      <c r="A248" s="69" t="str">
        <f>"         "&amp;Labels!B87</f>
        <v xml:space="preserve">         Series A</v>
      </c>
      <c r="B248" s="74">
        <f>B218+B233</f>
        <v>0</v>
      </c>
      <c r="C248" s="74">
        <f>C218+C233</f>
        <v>0</v>
      </c>
      <c r="D248" s="74">
        <f>D218+D233</f>
        <v>0</v>
      </c>
      <c r="E248" s="20">
        <f>SUM(B248:D248)</f>
        <v>0</v>
      </c>
    </row>
    <row r="249" spans="1:5" ht="12.75" hidden="1" customHeight="1" outlineLevel="1">
      <c r="A249" s="69" t="str">
        <f>"         "&amp;Labels!C86</f>
        <v xml:space="preserve">         Subtotal</v>
      </c>
      <c r="B249" s="73">
        <f>B248</f>
        <v>0</v>
      </c>
      <c r="C249" s="73">
        <f>C248</f>
        <v>0</v>
      </c>
      <c r="D249" s="73">
        <f>D248</f>
        <v>0</v>
      </c>
      <c r="E249" s="20">
        <f>E248</f>
        <v>0</v>
      </c>
    </row>
    <row r="250" spans="1:5" ht="12.75" hidden="1" customHeight="1" outlineLevel="1">
      <c r="A250" s="69" t="str">
        <f>"      "&amp;Labels!B88</f>
        <v xml:space="preserve">      Common</v>
      </c>
      <c r="B250" s="73">
        <f t="shared" ref="B250:D251" si="23">B220+B235</f>
        <v>100000</v>
      </c>
      <c r="C250" s="73">
        <f t="shared" si="23"/>
        <v>100000</v>
      </c>
      <c r="D250" s="73">
        <f t="shared" si="23"/>
        <v>100000</v>
      </c>
      <c r="E250" s="20">
        <f>SUM(B250:D250)</f>
        <v>300000</v>
      </c>
    </row>
    <row r="251" spans="1:5" ht="12.75" hidden="1" customHeight="1" outlineLevel="1">
      <c r="A251" s="69" t="str">
        <f>"      "&amp;Labels!B89</f>
        <v xml:space="preserve">      Warrant</v>
      </c>
      <c r="B251" s="73">
        <f t="shared" si="23"/>
        <v>0</v>
      </c>
      <c r="C251" s="73">
        <f t="shared" si="23"/>
        <v>0</v>
      </c>
      <c r="D251" s="73">
        <f t="shared" si="23"/>
        <v>0</v>
      </c>
      <c r="E251" s="20">
        <f>SUM(B251:D251)</f>
        <v>0</v>
      </c>
    </row>
    <row r="252" spans="1:5" ht="12.75" hidden="1" customHeight="1" outlineLevel="1">
      <c r="A252" s="69" t="str">
        <f>"      "&amp;Labels!B90</f>
        <v xml:space="preserve">      Option</v>
      </c>
      <c r="B252" s="73"/>
      <c r="C252" s="73"/>
      <c r="D252" s="73"/>
      <c r="E252" s="20"/>
    </row>
    <row r="253" spans="1:5" ht="12.75" hidden="1" customHeight="1" outlineLevel="1">
      <c r="A253" s="69" t="str">
        <f>"         "&amp;Labels!B91</f>
        <v xml:space="preserve">         Series B</v>
      </c>
      <c r="B253" s="74">
        <f t="shared" ref="B253:D254" si="24">B223+B238</f>
        <v>0</v>
      </c>
      <c r="C253" s="74">
        <f t="shared" si="24"/>
        <v>0</v>
      </c>
      <c r="D253" s="74">
        <f t="shared" si="24"/>
        <v>0</v>
      </c>
      <c r="E253" s="20">
        <f>SUM(B253:D253)</f>
        <v>0</v>
      </c>
    </row>
    <row r="254" spans="1:5" ht="12.75" hidden="1" customHeight="1" outlineLevel="1">
      <c r="A254" s="69" t="str">
        <f>"         "&amp;Labels!B92</f>
        <v xml:space="preserve">         Series A</v>
      </c>
      <c r="B254" s="74">
        <f t="shared" si="24"/>
        <v>0</v>
      </c>
      <c r="C254" s="74">
        <f t="shared" si="24"/>
        <v>0</v>
      </c>
      <c r="D254" s="74">
        <f t="shared" si="24"/>
        <v>0</v>
      </c>
      <c r="E254" s="20">
        <f>SUM(B254:D254)</f>
        <v>0</v>
      </c>
    </row>
    <row r="255" spans="1:5" ht="12.75" hidden="1" customHeight="1" outlineLevel="1">
      <c r="A255" s="69" t="str">
        <f>"         "&amp;Labels!C90</f>
        <v xml:space="preserve">         Subtotal</v>
      </c>
      <c r="B255" s="73">
        <f>SUM(B253:B254)</f>
        <v>0</v>
      </c>
      <c r="C255" s="73">
        <f>SUM(C253:C254)</f>
        <v>0</v>
      </c>
      <c r="D255" s="73">
        <f>SUM(D253:D254)</f>
        <v>0</v>
      </c>
      <c r="E255" s="20">
        <f>SUM(E253:E254)</f>
        <v>0</v>
      </c>
    </row>
    <row r="256" spans="1:5" ht="12.75" hidden="1" customHeight="1" outlineLevel="1">
      <c r="A256" s="13" t="str">
        <f>"      "&amp;Labels!C82</f>
        <v xml:space="preserve">      Total</v>
      </c>
      <c r="B256" s="72">
        <f>SUM(B246,B249:B251,B255)</f>
        <v>100000</v>
      </c>
      <c r="C256" s="72">
        <f>SUM(C246,C249:C251,C255)</f>
        <v>100000</v>
      </c>
      <c r="D256" s="72">
        <f>SUM(D246,D249:D251,D255)</f>
        <v>100000</v>
      </c>
      <c r="E256" s="20">
        <f>SUM(E246,E249:E251,E255)</f>
        <v>300000</v>
      </c>
    </row>
    <row r="257" spans="1:5" ht="12.75" hidden="1" customHeight="1" outlineLevel="1">
      <c r="A257" s="13" t="str">
        <f>"   "&amp;Labels!B74</f>
        <v xml:space="preserve">   Convert</v>
      </c>
      <c r="B257" s="72"/>
      <c r="C257" s="72"/>
      <c r="D257" s="72"/>
      <c r="E257" s="20"/>
    </row>
    <row r="258" spans="1:5" ht="12.75" hidden="1" customHeight="1" outlineLevel="1">
      <c r="A258" s="69" t="str">
        <f>"      "&amp;Labels!B83</f>
        <v xml:space="preserve">      Conv Note</v>
      </c>
      <c r="B258" s="73"/>
      <c r="C258" s="73"/>
      <c r="D258" s="73"/>
      <c r="E258" s="20"/>
    </row>
    <row r="259" spans="1:5" ht="12.75" hidden="1" customHeight="1" outlineLevel="1">
      <c r="A259" s="69" t="str">
        <f>"         "&amp;Labels!B84</f>
        <v xml:space="preserve">         Series B</v>
      </c>
      <c r="B259" s="74">
        <f>Conversion!B28*B244</f>
        <v>0</v>
      </c>
      <c r="C259" s="74">
        <f>Conversion!C28*C244</f>
        <v>0</v>
      </c>
      <c r="D259" s="74">
        <f>Conversion!D28*D244</f>
        <v>0</v>
      </c>
      <c r="E259" s="20">
        <f>SUM(B259:D259)</f>
        <v>0</v>
      </c>
    </row>
    <row r="260" spans="1:5" ht="12.75" hidden="1" customHeight="1" outlineLevel="1">
      <c r="A260" s="69" t="str">
        <f>"         "&amp;Labels!B85</f>
        <v xml:space="preserve">         Series A</v>
      </c>
      <c r="B260" s="74">
        <f>Conversion!B29*B245</f>
        <v>0</v>
      </c>
      <c r="C260" s="74">
        <f>Conversion!C29*C245</f>
        <v>0</v>
      </c>
      <c r="D260" s="74">
        <f>Conversion!D29*D245</f>
        <v>0</v>
      </c>
      <c r="E260" s="20">
        <f>SUM(B260:D260)</f>
        <v>0</v>
      </c>
    </row>
    <row r="261" spans="1:5" ht="12.75" hidden="1" customHeight="1" outlineLevel="1">
      <c r="A261" s="69" t="str">
        <f>"         "&amp;Labels!C83</f>
        <v xml:space="preserve">         Subtotal</v>
      </c>
      <c r="B261" s="73">
        <f>SUM(B259:B260)</f>
        <v>0</v>
      </c>
      <c r="C261" s="73">
        <f>SUM(C259:C260)</f>
        <v>0</v>
      </c>
      <c r="D261" s="73">
        <f>SUM(D259:D260)</f>
        <v>0</v>
      </c>
      <c r="E261" s="20">
        <f>SUM(E259:E260)</f>
        <v>0</v>
      </c>
    </row>
    <row r="262" spans="1:5" ht="12.75" hidden="1" customHeight="1" outlineLevel="1">
      <c r="A262" s="69" t="str">
        <f>"      "&amp;Labels!B86</f>
        <v xml:space="preserve">      Preferred</v>
      </c>
      <c r="B262" s="73"/>
      <c r="C262" s="73"/>
      <c r="D262" s="73"/>
      <c r="E262" s="20"/>
    </row>
    <row r="263" spans="1:5" ht="12.75" hidden="1" customHeight="1" outlineLevel="1">
      <c r="A263" s="69" t="str">
        <f>"         "&amp;Labels!B87</f>
        <v xml:space="preserve">         Series A</v>
      </c>
      <c r="B263" s="74">
        <f>Conversion!B31*B248</f>
        <v>0</v>
      </c>
      <c r="C263" s="74">
        <f>Conversion!C31*C248</f>
        <v>0</v>
      </c>
      <c r="D263" s="74">
        <f>Conversion!D31*D248</f>
        <v>0</v>
      </c>
      <c r="E263" s="20">
        <f>SUM(B263:D263)</f>
        <v>0</v>
      </c>
    </row>
    <row r="264" spans="1:5" ht="12.75" hidden="1" customHeight="1" outlineLevel="1">
      <c r="A264" s="69" t="str">
        <f>"         "&amp;Labels!C86</f>
        <v xml:space="preserve">         Subtotal</v>
      </c>
      <c r="B264" s="73">
        <f>B263</f>
        <v>0</v>
      </c>
      <c r="C264" s="73">
        <f>C263</f>
        <v>0</v>
      </c>
      <c r="D264" s="73">
        <f>D263</f>
        <v>0</v>
      </c>
      <c r="E264" s="20">
        <f>E263</f>
        <v>0</v>
      </c>
    </row>
    <row r="265" spans="1:5" ht="12.75" hidden="1" customHeight="1" outlineLevel="1">
      <c r="A265" s="69" t="str">
        <f>"      "&amp;Labels!B88</f>
        <v xml:space="preserve">      Common</v>
      </c>
      <c r="B265" s="73">
        <f>Conversion!B32*B250</f>
        <v>0</v>
      </c>
      <c r="C265" s="73">
        <f>Conversion!C32*C250</f>
        <v>0</v>
      </c>
      <c r="D265" s="73">
        <f>Conversion!D32*D250</f>
        <v>0</v>
      </c>
      <c r="E265" s="20">
        <f>SUM(B265:D265)</f>
        <v>0</v>
      </c>
    </row>
    <row r="266" spans="1:5" ht="12.75" hidden="1" customHeight="1" outlineLevel="1">
      <c r="A266" s="69" t="str">
        <f>"      "&amp;Labels!B89</f>
        <v xml:space="preserve">      Warrant</v>
      </c>
      <c r="B266" s="73">
        <f>Conversion!B33*B251</f>
        <v>0</v>
      </c>
      <c r="C266" s="73">
        <f>Conversion!C33*C251</f>
        <v>0</v>
      </c>
      <c r="D266" s="73">
        <f>Conversion!D33*D251</f>
        <v>0</v>
      </c>
      <c r="E266" s="20">
        <f>SUM(B266:D266)</f>
        <v>0</v>
      </c>
    </row>
    <row r="267" spans="1:5" ht="12.75" hidden="1" customHeight="1" outlineLevel="1">
      <c r="A267" s="69" t="str">
        <f>"      "&amp;Labels!B90</f>
        <v xml:space="preserve">      Option</v>
      </c>
      <c r="B267" s="73"/>
      <c r="C267" s="73"/>
      <c r="D267" s="73"/>
      <c r="E267" s="20"/>
    </row>
    <row r="268" spans="1:5" ht="12.75" hidden="1" customHeight="1" outlineLevel="1">
      <c r="A268" s="69" t="str">
        <f>"         "&amp;Labels!B91</f>
        <v xml:space="preserve">         Series B</v>
      </c>
      <c r="B268" s="74">
        <f>Conversion!B35*B253</f>
        <v>0</v>
      </c>
      <c r="C268" s="74">
        <f>Conversion!C35*C253</f>
        <v>0</v>
      </c>
      <c r="D268" s="74">
        <f>Conversion!D35*D253</f>
        <v>0</v>
      </c>
      <c r="E268" s="20">
        <f>SUM(B268:D268)</f>
        <v>0</v>
      </c>
    </row>
    <row r="269" spans="1:5" ht="12.75" hidden="1" customHeight="1" outlineLevel="1">
      <c r="A269" s="69" t="str">
        <f>"         "&amp;Labels!B92</f>
        <v xml:space="preserve">         Series A</v>
      </c>
      <c r="B269" s="74">
        <f>Conversion!B36*B254</f>
        <v>0</v>
      </c>
      <c r="C269" s="74">
        <f>Conversion!C36*C254</f>
        <v>0</v>
      </c>
      <c r="D269" s="74">
        <f>Conversion!D36*D254</f>
        <v>0</v>
      </c>
      <c r="E269" s="20">
        <f>SUM(B269:D269)</f>
        <v>0</v>
      </c>
    </row>
    <row r="270" spans="1:5" ht="12.75" hidden="1" customHeight="1" outlineLevel="1">
      <c r="A270" s="69" t="str">
        <f>"         "&amp;Labels!C90</f>
        <v xml:space="preserve">         Subtotal</v>
      </c>
      <c r="B270" s="73">
        <f>SUM(B268:B269)</f>
        <v>0</v>
      </c>
      <c r="C270" s="73">
        <f>SUM(C268:C269)</f>
        <v>0</v>
      </c>
      <c r="D270" s="73">
        <f>SUM(D268:D269)</f>
        <v>0</v>
      </c>
      <c r="E270" s="20">
        <f>SUM(E268:E269)</f>
        <v>0</v>
      </c>
    </row>
    <row r="271" spans="1:5" ht="12.75" hidden="1" customHeight="1" outlineLevel="1">
      <c r="A271" s="13" t="str">
        <f>"      "&amp;Labels!C82</f>
        <v xml:space="preserve">      Total</v>
      </c>
      <c r="B271" s="72">
        <f>SUM(B261,B264:B266,B270)</f>
        <v>0</v>
      </c>
      <c r="C271" s="72">
        <f>SUM(C261,C264:C266,C270)</f>
        <v>0</v>
      </c>
      <c r="D271" s="72">
        <f>SUM(D261,D264:D266,D270)</f>
        <v>0</v>
      </c>
      <c r="E271" s="20">
        <f>SUM(E261,E264:E266,E270)</f>
        <v>0</v>
      </c>
    </row>
    <row r="272" spans="1:5" ht="12.75" hidden="1" customHeight="1" outlineLevel="1">
      <c r="A272" s="13" t="str">
        <f>"   "&amp;Labels!B75</f>
        <v xml:space="preserve">   End</v>
      </c>
      <c r="B272" s="72"/>
      <c r="C272" s="72"/>
      <c r="D272" s="72"/>
      <c r="E272" s="20"/>
    </row>
    <row r="273" spans="1:5" ht="12.75" hidden="1" customHeight="1" outlineLevel="1">
      <c r="A273" s="69" t="str">
        <f>"      "&amp;Labels!B83</f>
        <v xml:space="preserve">      Conv Note</v>
      </c>
      <c r="B273" s="73"/>
      <c r="C273" s="73"/>
      <c r="D273" s="73"/>
      <c r="E273" s="20"/>
    </row>
    <row r="274" spans="1:5" ht="12.75" hidden="1" customHeight="1" outlineLevel="1">
      <c r="A274" s="69" t="str">
        <f>"         "&amp;Labels!B84</f>
        <v xml:space="preserve">         Series B</v>
      </c>
      <c r="B274" s="74">
        <f t="shared" ref="B274:D275" si="25">B244-B259</f>
        <v>0</v>
      </c>
      <c r="C274" s="74">
        <f t="shared" si="25"/>
        <v>0</v>
      </c>
      <c r="D274" s="74">
        <f t="shared" si="25"/>
        <v>0</v>
      </c>
      <c r="E274" s="20">
        <f>SUM(B274:D274)</f>
        <v>0</v>
      </c>
    </row>
    <row r="275" spans="1:5" ht="12.75" hidden="1" customHeight="1" outlineLevel="1">
      <c r="A275" s="69" t="str">
        <f>"         "&amp;Labels!B85</f>
        <v xml:space="preserve">         Series A</v>
      </c>
      <c r="B275" s="74">
        <f t="shared" si="25"/>
        <v>0</v>
      </c>
      <c r="C275" s="74">
        <f t="shared" si="25"/>
        <v>0</v>
      </c>
      <c r="D275" s="74">
        <f t="shared" si="25"/>
        <v>0</v>
      </c>
      <c r="E275" s="20">
        <f>SUM(B275:D275)</f>
        <v>0</v>
      </c>
    </row>
    <row r="276" spans="1:5" ht="12.75" hidden="1" customHeight="1" outlineLevel="1">
      <c r="A276" s="69" t="str">
        <f>"         "&amp;Labels!C83</f>
        <v xml:space="preserve">         Subtotal</v>
      </c>
      <c r="B276" s="73">
        <f>SUM(B274:B275)</f>
        <v>0</v>
      </c>
      <c r="C276" s="73">
        <f>SUM(C274:C275)</f>
        <v>0</v>
      </c>
      <c r="D276" s="73">
        <f>SUM(D274:D275)</f>
        <v>0</v>
      </c>
      <c r="E276" s="20">
        <f>SUM(E274:E275)</f>
        <v>0</v>
      </c>
    </row>
    <row r="277" spans="1:5" ht="12.75" hidden="1" customHeight="1" outlineLevel="1">
      <c r="A277" s="69" t="str">
        <f>"      "&amp;Labels!B86</f>
        <v xml:space="preserve">      Preferred</v>
      </c>
      <c r="B277" s="73"/>
      <c r="C277" s="73"/>
      <c r="D277" s="73"/>
      <c r="E277" s="20"/>
    </row>
    <row r="278" spans="1:5" ht="12.75" hidden="1" customHeight="1" outlineLevel="1">
      <c r="A278" s="69" t="str">
        <f>"         "&amp;Labels!B87</f>
        <v xml:space="preserve">         Series A</v>
      </c>
      <c r="B278" s="74">
        <f>B248-B263</f>
        <v>0</v>
      </c>
      <c r="C278" s="74">
        <f>C248-C263</f>
        <v>0</v>
      </c>
      <c r="D278" s="74">
        <f>D248-D263</f>
        <v>0</v>
      </c>
      <c r="E278" s="20">
        <f>SUM(B278:D278)</f>
        <v>0</v>
      </c>
    </row>
    <row r="279" spans="1:5" ht="12.75" hidden="1" customHeight="1" outlineLevel="1">
      <c r="A279" s="69" t="str">
        <f>"         "&amp;Labels!C86</f>
        <v xml:space="preserve">         Subtotal</v>
      </c>
      <c r="B279" s="73">
        <f>B278</f>
        <v>0</v>
      </c>
      <c r="C279" s="73">
        <f>C278</f>
        <v>0</v>
      </c>
      <c r="D279" s="73">
        <f>D278</f>
        <v>0</v>
      </c>
      <c r="E279" s="20">
        <f>E278</f>
        <v>0</v>
      </c>
    </row>
    <row r="280" spans="1:5" ht="12.75" hidden="1" customHeight="1" outlineLevel="1">
      <c r="A280" s="69" t="str">
        <f>"      "&amp;Labels!B88</f>
        <v xml:space="preserve">      Common</v>
      </c>
      <c r="B280" s="73">
        <f>B250+B271+'(Other Computations)'!B93</f>
        <v>100000</v>
      </c>
      <c r="C280" s="73">
        <f>C250+C271+'(Other Computations)'!C93</f>
        <v>100000</v>
      </c>
      <c r="D280" s="73">
        <f>D250+D271+'(Other Computations)'!D93</f>
        <v>100000</v>
      </c>
      <c r="E280" s="20">
        <f>SUM(B280:D280)</f>
        <v>300000</v>
      </c>
    </row>
    <row r="281" spans="1:5" ht="12.75" hidden="1" customHeight="1" outlineLevel="1">
      <c r="A281" s="69" t="str">
        <f>"      "&amp;Labels!B89</f>
        <v xml:space="preserve">      Warrant</v>
      </c>
      <c r="B281" s="73">
        <f>B251-B266</f>
        <v>0</v>
      </c>
      <c r="C281" s="73">
        <f>C251-C266</f>
        <v>0</v>
      </c>
      <c r="D281" s="73">
        <f>D251-D266</f>
        <v>0</v>
      </c>
      <c r="E281" s="20">
        <f>SUM(B281:D281)</f>
        <v>0</v>
      </c>
    </row>
    <row r="282" spans="1:5" ht="12.75" hidden="1" customHeight="1" outlineLevel="1">
      <c r="A282" s="69" t="str">
        <f>"      "&amp;Labels!B90</f>
        <v xml:space="preserve">      Option</v>
      </c>
      <c r="B282" s="73"/>
      <c r="C282" s="73"/>
      <c r="D282" s="73"/>
      <c r="E282" s="20"/>
    </row>
    <row r="283" spans="1:5" ht="12.75" hidden="1" customHeight="1" outlineLevel="1">
      <c r="A283" s="69" t="str">
        <f>"         "&amp;Labels!B91</f>
        <v xml:space="preserve">         Series B</v>
      </c>
      <c r="B283" s="74">
        <f t="shared" ref="B283:D284" si="26">B253-B268</f>
        <v>0</v>
      </c>
      <c r="C283" s="74">
        <f t="shared" si="26"/>
        <v>0</v>
      </c>
      <c r="D283" s="74">
        <f t="shared" si="26"/>
        <v>0</v>
      </c>
      <c r="E283" s="20">
        <f>SUM(B283:D283)</f>
        <v>0</v>
      </c>
    </row>
    <row r="284" spans="1:5" ht="12.75" hidden="1" customHeight="1" outlineLevel="1">
      <c r="A284" s="69" t="str">
        <f>"         "&amp;Labels!B92</f>
        <v xml:space="preserve">         Series A</v>
      </c>
      <c r="B284" s="74">
        <f t="shared" si="26"/>
        <v>0</v>
      </c>
      <c r="C284" s="74">
        <f t="shared" si="26"/>
        <v>0</v>
      </c>
      <c r="D284" s="74">
        <f t="shared" si="26"/>
        <v>0</v>
      </c>
      <c r="E284" s="20">
        <f>SUM(B284:D284)</f>
        <v>0</v>
      </c>
    </row>
    <row r="285" spans="1:5" ht="12.75" hidden="1" customHeight="1" outlineLevel="1">
      <c r="A285" s="69" t="str">
        <f>"         "&amp;Labels!C90</f>
        <v xml:space="preserve">         Subtotal</v>
      </c>
      <c r="B285" s="73">
        <f>SUM(B283:B284)</f>
        <v>0</v>
      </c>
      <c r="C285" s="73">
        <f>SUM(C283:C284)</f>
        <v>0</v>
      </c>
      <c r="D285" s="73">
        <f>SUM(D283:D284)</f>
        <v>0</v>
      </c>
      <c r="E285" s="20">
        <f>SUM(E283:E284)</f>
        <v>0</v>
      </c>
    </row>
    <row r="286" spans="1:5" ht="12.75" hidden="1" customHeight="1" outlineLevel="1">
      <c r="A286" s="13" t="str">
        <f>"      "&amp;Labels!C82</f>
        <v xml:space="preserve">      Total</v>
      </c>
      <c r="B286" s="72">
        <f>SUM(B276,B279:B281,B285)</f>
        <v>100000</v>
      </c>
      <c r="C286" s="72">
        <f>SUM(C276,C279:C281,C285)</f>
        <v>100000</v>
      </c>
      <c r="D286" s="72">
        <f>SUM(D276,D279:D281,D285)</f>
        <v>100000</v>
      </c>
      <c r="E286" s="20">
        <f>SUM(E276,E279:E281,E285)</f>
        <v>300000</v>
      </c>
    </row>
    <row r="287" spans="1:5" ht="12.75" hidden="1" customHeight="1" outlineLevel="1">
      <c r="A287" s="4"/>
      <c r="B287" s="43"/>
      <c r="C287" s="43"/>
      <c r="D287" s="43"/>
      <c r="E287" s="4"/>
    </row>
    <row r="288" spans="1:5" ht="12.75" hidden="1" customHeight="1" outlineLevel="1">
      <c r="A288" s="29" t="str">
        <f>Labels!B15</f>
        <v>Dividend</v>
      </c>
      <c r="B288" s="44"/>
      <c r="C288" s="44"/>
      <c r="D288" s="44"/>
      <c r="E288" s="20"/>
    </row>
    <row r="289" spans="1:5" ht="12.75" hidden="1" customHeight="1" outlineLevel="1">
      <c r="A289" s="13" t="str">
        <f>"   "&amp;Labels!B83</f>
        <v xml:space="preserve">   Conv Note</v>
      </c>
      <c r="B289" s="72"/>
      <c r="C289" s="72"/>
      <c r="D289" s="72"/>
      <c r="E289" s="20"/>
    </row>
    <row r="290" spans="1:5" ht="12.75" hidden="1" customHeight="1" outlineLevel="1">
      <c r="A290" s="69" t="str">
        <f>"      "&amp;Labels!B84</f>
        <v xml:space="preserve">      Series B</v>
      </c>
      <c r="B290" s="73">
        <f>Inputs!B42*0*(B209-B209)/365</f>
        <v>0</v>
      </c>
      <c r="C290" s="73">
        <f>Inputs!B42*B274*(C209-B209)/365</f>
        <v>0</v>
      </c>
      <c r="D290" s="73">
        <f>Inputs!B42*C274*(D209-C209)/365</f>
        <v>0</v>
      </c>
      <c r="E290" s="20">
        <f>SUM(B290:D290)</f>
        <v>0</v>
      </c>
    </row>
    <row r="291" spans="1:5" ht="12.75" hidden="1" customHeight="1" outlineLevel="1">
      <c r="A291" s="69" t="str">
        <f>"      "&amp;Labels!B85</f>
        <v xml:space="preserve">      Series A</v>
      </c>
      <c r="B291" s="73">
        <f>Inputs!B43*0*(B209-B209)/365</f>
        <v>0</v>
      </c>
      <c r="C291" s="73">
        <f>Inputs!B43*B275*(C209-B209)/365</f>
        <v>0</v>
      </c>
      <c r="D291" s="73">
        <f>Inputs!B43*C275*(D209-C209)/365</f>
        <v>0</v>
      </c>
      <c r="E291" s="20">
        <f>SUM(B291:D291)</f>
        <v>0</v>
      </c>
    </row>
    <row r="292" spans="1:5" ht="12.75" hidden="1" customHeight="1" outlineLevel="1">
      <c r="A292" s="13" t="str">
        <f>"      "&amp;Labels!C83</f>
        <v xml:space="preserve">      Subtotal</v>
      </c>
      <c r="B292" s="72">
        <f>SUM(B290:B291)</f>
        <v>0</v>
      </c>
      <c r="C292" s="72">
        <f>SUM(C290:C291)</f>
        <v>0</v>
      </c>
      <c r="D292" s="72">
        <f>SUM(D290:D291)</f>
        <v>0</v>
      </c>
      <c r="E292" s="20">
        <f>SUM(E290:E291)</f>
        <v>0</v>
      </c>
    </row>
    <row r="293" spans="1:5" ht="12.75" hidden="1" customHeight="1" outlineLevel="1">
      <c r="A293" s="13" t="str">
        <f>"   "&amp;Labels!B86</f>
        <v xml:space="preserve">   Preferred</v>
      </c>
      <c r="B293" s="72"/>
      <c r="C293" s="72"/>
      <c r="D293" s="72"/>
      <c r="E293" s="20"/>
    </row>
    <row r="294" spans="1:5" ht="12.75" hidden="1" customHeight="1" outlineLevel="1">
      <c r="A294" s="69" t="str">
        <f>"      "&amp;Labels!B87</f>
        <v xml:space="preserve">      Series A</v>
      </c>
      <c r="B294" s="73">
        <f>Inputs!E75*0*(B209-B209)/365</f>
        <v>0</v>
      </c>
      <c r="C294" s="73">
        <f>Inputs!E75*B278*(C209-B209)/365</f>
        <v>0</v>
      </c>
      <c r="D294" s="73">
        <f>Inputs!E75*C278*(D209-C209)/365</f>
        <v>0</v>
      </c>
      <c r="E294" s="20">
        <f>SUM(B294:D294)</f>
        <v>0</v>
      </c>
    </row>
    <row r="295" spans="1:5" ht="12.75" hidden="1" customHeight="1" outlineLevel="1">
      <c r="A295" s="13" t="str">
        <f>"      "&amp;Labels!C86</f>
        <v xml:space="preserve">      Subtotal</v>
      </c>
      <c r="B295" s="72">
        <f>B294</f>
        <v>0</v>
      </c>
      <c r="C295" s="72">
        <f>C294</f>
        <v>0</v>
      </c>
      <c r="D295" s="72">
        <f>D294</f>
        <v>0</v>
      </c>
      <c r="E295" s="20">
        <f>E294</f>
        <v>0</v>
      </c>
    </row>
    <row r="296" spans="1:5" ht="12.75" hidden="1" customHeight="1" outlineLevel="1">
      <c r="A296" s="13" t="str">
        <f>"   "&amp;Labels!B88</f>
        <v xml:space="preserve">   Common</v>
      </c>
      <c r="B296" s="72">
        <f>Inputs!B99</f>
        <v>0</v>
      </c>
      <c r="C296" s="72">
        <f>Inputs!C99</f>
        <v>0</v>
      </c>
      <c r="D296" s="72">
        <f>Inputs!D99</f>
        <v>0</v>
      </c>
      <c r="E296" s="20">
        <f>SUM(B296:D296)</f>
        <v>0</v>
      </c>
    </row>
    <row r="297" spans="1:5" ht="12.75" hidden="1" customHeight="1" outlineLevel="1">
      <c r="A297" s="13" t="str">
        <f>"   "&amp;Labels!B89</f>
        <v xml:space="preserve">   Warrant</v>
      </c>
      <c r="B297" s="72">
        <f>Boneyard!B26*0*(B209-B209)/365</f>
        <v>0</v>
      </c>
      <c r="C297" s="72">
        <f>Boneyard!B26*B281*(C209-B209)/365</f>
        <v>0</v>
      </c>
      <c r="D297" s="72">
        <f>Boneyard!B26*C281*(D209-C209)/365</f>
        <v>0</v>
      </c>
      <c r="E297" s="20">
        <f>SUM(B297:D297)</f>
        <v>0</v>
      </c>
    </row>
    <row r="298" spans="1:5" ht="12.75" hidden="1" customHeight="1" outlineLevel="1">
      <c r="A298" s="13" t="str">
        <f>"   "&amp;Labels!B90</f>
        <v xml:space="preserve">   Option</v>
      </c>
      <c r="B298" s="72"/>
      <c r="C298" s="72"/>
      <c r="D298" s="72"/>
      <c r="E298" s="20"/>
    </row>
    <row r="299" spans="1:5" ht="12.75" hidden="1" customHeight="1" outlineLevel="1">
      <c r="A299" s="69" t="str">
        <f>"      "&amp;Labels!B91</f>
        <v xml:space="preserve">      Series B</v>
      </c>
      <c r="B299" s="73">
        <f>Boneyard!B28*0*(B209-B209)/365</f>
        <v>0</v>
      </c>
      <c r="C299" s="73">
        <f>Boneyard!B28*B283*(C209-B209)/365</f>
        <v>0</v>
      </c>
      <c r="D299" s="73">
        <f>Boneyard!B28*C283*(D209-C209)/365</f>
        <v>0</v>
      </c>
      <c r="E299" s="20">
        <f>SUM(B299:D299)</f>
        <v>0</v>
      </c>
    </row>
    <row r="300" spans="1:5" ht="12.75" hidden="1" customHeight="1" outlineLevel="1">
      <c r="A300" s="69" t="str">
        <f>"      "&amp;Labels!B92</f>
        <v xml:space="preserve">      Series A</v>
      </c>
      <c r="B300" s="73">
        <f>Boneyard!B29*0*(B209-B209)/365</f>
        <v>0</v>
      </c>
      <c r="C300" s="73">
        <f>Boneyard!B29*B284*(C209-B209)/365</f>
        <v>0</v>
      </c>
      <c r="D300" s="73">
        <f>Boneyard!B29*C284*(D209-C209)/365</f>
        <v>0</v>
      </c>
      <c r="E300" s="20">
        <f>SUM(B300:D300)</f>
        <v>0</v>
      </c>
    </row>
    <row r="301" spans="1:5" ht="12.75" hidden="1" customHeight="1" outlineLevel="1">
      <c r="A301" s="13" t="str">
        <f>"      "&amp;Labels!C90</f>
        <v xml:space="preserve">      Subtotal</v>
      </c>
      <c r="B301" s="72">
        <f>SUM(B299:B300)</f>
        <v>0</v>
      </c>
      <c r="C301" s="72">
        <f>SUM(C299:C300)</f>
        <v>0</v>
      </c>
      <c r="D301" s="72">
        <f>SUM(D299:D300)</f>
        <v>0</v>
      </c>
      <c r="E301" s="20">
        <f>SUM(E299:E300)</f>
        <v>0</v>
      </c>
    </row>
    <row r="302" spans="1:5" ht="12.75" hidden="1" customHeight="1" outlineLevel="1">
      <c r="A302" s="21" t="str">
        <f>"   "&amp;Labels!C82</f>
        <v xml:space="preserve">   Total</v>
      </c>
      <c r="B302" s="22">
        <f>SUM(B292,B295:B297,B301)</f>
        <v>0</v>
      </c>
      <c r="C302" s="22">
        <f>SUM(C292,C295:C297,C301)</f>
        <v>0</v>
      </c>
      <c r="D302" s="22">
        <f>SUM(D292,D295:D297,D301)</f>
        <v>0</v>
      </c>
      <c r="E302" s="23">
        <f>SUM(E292,E295:E297,E301)</f>
        <v>0</v>
      </c>
    </row>
    <row r="303" spans="1:5" ht="12.75" hidden="1" customHeight="1" outlineLevel="1"/>
    <row r="304" spans="1:5" ht="12.75" hidden="1" customHeight="1" outlineLevel="1" collapsed="1"/>
    <row r="305" ht="12.75" customHeight="1" collapsed="1"/>
  </sheetData>
  <mergeCells count="12">
    <mergeCell ref="A206:B206"/>
    <mergeCell ref="A1:D1"/>
    <mergeCell ref="A2:D2"/>
    <mergeCell ref="A3:D3"/>
    <mergeCell ref="A4:D4"/>
    <mergeCell ref="A5:D5"/>
    <mergeCell ref="A6:B6"/>
    <mergeCell ref="A8:B8"/>
    <mergeCell ref="A9:B9"/>
    <mergeCell ref="A27:B27"/>
    <mergeCell ref="A28:B28"/>
    <mergeCell ref="A47:B47"/>
  </mergeCells>
  <pageMargins left="0.75" right="0.75" top="1" bottom="1" header="0.5" footer="0.5"/>
  <pageSetup paperSize="9" orientation="landscape" horizontalDpi="0" verticalDpi="0" copies="0"/>
  <headerFooter alignWithMargins="0"/>
  <legacyDrawing r:id="rId1"/>
</worksheet>
</file>

<file path=xl/worksheets/sheet4.xml><?xml version="1.0" encoding="utf-8"?>
<worksheet xmlns="http://schemas.openxmlformats.org/spreadsheetml/2006/main" xmlns:r="http://schemas.openxmlformats.org/officeDocument/2006/relationships">
  <sheetPr>
    <outlinePr summaryBelow="0" summaryRight="0"/>
  </sheetPr>
  <dimension ref="A1:E126"/>
  <sheetViews>
    <sheetView workbookViewId="0">
      <selection sqref="A1:D1"/>
    </sheetView>
  </sheetViews>
  <sheetFormatPr defaultRowHeight="12.75" customHeight="1" outlineLevelRow="1"/>
  <cols>
    <col min="1" max="1" width="24.140625" customWidth="1"/>
    <col min="2" max="2" width="9.7109375" customWidth="1"/>
    <col min="3" max="4" width="9.5703125" customWidth="1"/>
    <col min="5" max="5" width="9.42578125" customWidth="1"/>
  </cols>
  <sheetData>
    <row r="1" spans="1:4" ht="12.75" customHeight="1">
      <c r="A1" s="214" t="str">
        <f>"Capitalization Table"</f>
        <v>Capitalization Table</v>
      </c>
      <c r="B1" s="214"/>
      <c r="C1" s="214"/>
      <c r="D1" s="214"/>
    </row>
    <row r="2" spans="1:4" ht="12.75" customHeight="1">
      <c r="A2" s="214" t="str">
        <f>Inputs!B8</f>
        <v>ABC Corp.</v>
      </c>
      <c r="B2" s="214"/>
      <c r="C2" s="214"/>
      <c r="D2" s="214"/>
    </row>
    <row r="3" spans="1:4" ht="12.75" customHeight="1">
      <c r="A3" s="214" t="str">
        <f>IF("Shares"="(Default Input)","Ignore this sheet in normal use.","Investment Scenario "&amp;1&amp;", Valuation Scenario "&amp;1)</f>
        <v>Investment Scenario 1, Valuation Scenario 1</v>
      </c>
      <c r="B3" s="214"/>
      <c r="C3" s="214"/>
      <c r="D3" s="214"/>
    </row>
    <row r="4" spans="1:4" ht="12.75" customHeight="1">
      <c r="A4" s="214" t="str">
        <f>"Shares"</f>
        <v>Shares</v>
      </c>
      <c r="B4" s="214"/>
      <c r="C4" s="214"/>
      <c r="D4" s="214"/>
    </row>
    <row r="5" spans="1:4" ht="12.75" customHeight="1">
      <c r="A5" s="214" t="str">
        <f>""</f>
        <v/>
      </c>
      <c r="B5" s="214"/>
      <c r="C5" s="214"/>
      <c r="D5" s="214"/>
    </row>
    <row r="6" spans="1:4" ht="12.75" customHeight="1">
      <c r="B6" s="6" t="str">
        <f>Labels!B78</f>
        <v>Seed</v>
      </c>
      <c r="C6" s="7" t="str">
        <f>Labels!B79</f>
        <v>Round A</v>
      </c>
      <c r="D6" s="8" t="str">
        <f>Labels!B80</f>
        <v>Exit</v>
      </c>
    </row>
    <row r="7" spans="1:4" ht="12.75" customHeight="1">
      <c r="A7" s="4" t="str">
        <f>Labels!B19</f>
        <v>Event Date</v>
      </c>
      <c r="B7" s="76">
        <f>Investment!B209</f>
        <v>40391</v>
      </c>
      <c r="C7" s="76">
        <f>Investment!C209</f>
        <v>40725</v>
      </c>
      <c r="D7" s="77">
        <f>Investment!D209</f>
        <v>41061</v>
      </c>
    </row>
    <row r="9" spans="1:4" ht="12.75" customHeight="1">
      <c r="A9" s="215" t="str">
        <f>"Common Shares by Origin"</f>
        <v>Common Shares by Origin</v>
      </c>
      <c r="B9" s="215"/>
      <c r="C9" s="215"/>
    </row>
    <row r="10" spans="1:4" ht="12.75" customHeight="1">
      <c r="A10" s="1" t="str">
        <f>" "</f>
        <v xml:space="preserve"> </v>
      </c>
    </row>
    <row r="11" spans="1:4" ht="12.75" customHeight="1">
      <c r="B11" s="6" t="str">
        <f>Labels!B78</f>
        <v>Seed</v>
      </c>
      <c r="C11" s="7" t="str">
        <f>Labels!B79</f>
        <v>Round A</v>
      </c>
      <c r="D11" s="8" t="str">
        <f>Labels!B80</f>
        <v>Exit</v>
      </c>
    </row>
    <row r="12" spans="1:4" ht="12.75" customHeight="1">
      <c r="A12" s="11" t="str">
        <f>Labels!B56</f>
        <v>Common Shares by Origin</v>
      </c>
      <c r="B12" s="78"/>
      <c r="C12" s="78"/>
      <c r="D12" s="79"/>
    </row>
    <row r="13" spans="1:4" ht="12.75" customHeight="1">
      <c r="A13" s="13" t="str">
        <f>"   "&amp;Labels!B83</f>
        <v xml:space="preserve">   Conv Note</v>
      </c>
      <c r="B13" s="80"/>
      <c r="C13" s="80"/>
      <c r="D13" s="81"/>
    </row>
    <row r="14" spans="1:4" ht="12.75" customHeight="1">
      <c r="A14" s="69" t="str">
        <f>"      "&amp;Labels!B84</f>
        <v xml:space="preserve">      Series B</v>
      </c>
      <c r="B14" s="82">
        <f>0*Inputs!B97+B96</f>
        <v>0</v>
      </c>
      <c r="C14" s="82">
        <f>B14*Inputs!C97+C96</f>
        <v>0</v>
      </c>
      <c r="D14" s="83">
        <f>C14*Inputs!D97+D96</f>
        <v>0</v>
      </c>
    </row>
    <row r="15" spans="1:4" ht="12.75" customHeight="1">
      <c r="A15" s="69" t="str">
        <f>"      "&amp;Labels!B85</f>
        <v xml:space="preserve">      Series A</v>
      </c>
      <c r="B15" s="82">
        <f>0*Inputs!B97+B97</f>
        <v>0</v>
      </c>
      <c r="C15" s="82">
        <f>B15*Inputs!C97+C97</f>
        <v>0</v>
      </c>
      <c r="D15" s="83">
        <f>C15*Inputs!D97+D97</f>
        <v>0</v>
      </c>
    </row>
    <row r="16" spans="1:4" ht="12.75" customHeight="1">
      <c r="A16" s="13" t="str">
        <f>"   "&amp;Labels!B86</f>
        <v xml:space="preserve">   Preferred</v>
      </c>
      <c r="B16" s="80"/>
      <c r="C16" s="80"/>
      <c r="D16" s="81"/>
    </row>
    <row r="17" spans="1:5" ht="12.75" customHeight="1">
      <c r="A17" s="69" t="str">
        <f>"      "&amp;Labels!B87</f>
        <v xml:space="preserve">      Series A</v>
      </c>
      <c r="B17" s="82">
        <f>0*Inputs!B97+B100</f>
        <v>0</v>
      </c>
      <c r="C17" s="82">
        <f>B17*Inputs!C97+C100</f>
        <v>0</v>
      </c>
      <c r="D17" s="83">
        <f>C17*Inputs!D97+D100</f>
        <v>0</v>
      </c>
    </row>
    <row r="18" spans="1:5" ht="12.75" customHeight="1">
      <c r="A18" s="13" t="str">
        <f>"   "&amp;Labels!B88</f>
        <v xml:space="preserve">   Common</v>
      </c>
      <c r="B18" s="80">
        <f>0*Inputs!B97+B72</f>
        <v>100000</v>
      </c>
      <c r="C18" s="80">
        <f>B18*Inputs!C97+C72</f>
        <v>100000</v>
      </c>
      <c r="D18" s="81">
        <f>C18*Inputs!D97+D72</f>
        <v>100000</v>
      </c>
    </row>
    <row r="19" spans="1:5" ht="12.75" customHeight="1">
      <c r="A19" s="13" t="str">
        <f>"   "&amp;Labels!B89</f>
        <v xml:space="preserve">   Warrant</v>
      </c>
      <c r="B19" s="80">
        <f>0*Inputs!B97+B103</f>
        <v>0</v>
      </c>
      <c r="C19" s="80">
        <f>B19*Inputs!C97+C103</f>
        <v>0</v>
      </c>
      <c r="D19" s="81">
        <f>C19*Inputs!D97+D103</f>
        <v>0</v>
      </c>
    </row>
    <row r="20" spans="1:5" ht="12.75" customHeight="1">
      <c r="A20" s="13" t="str">
        <f>"   "&amp;Labels!B90</f>
        <v xml:space="preserve">   Option</v>
      </c>
      <c r="B20" s="80"/>
      <c r="C20" s="80"/>
      <c r="D20" s="81"/>
    </row>
    <row r="21" spans="1:5" ht="12.75" customHeight="1">
      <c r="A21" s="69" t="str">
        <f>"      "&amp;Labels!B91</f>
        <v xml:space="preserve">      Series B</v>
      </c>
      <c r="B21" s="82">
        <f>0*Inputs!B97+B105</f>
        <v>0</v>
      </c>
      <c r="C21" s="82">
        <f>B21*Inputs!C97+C105</f>
        <v>0</v>
      </c>
      <c r="D21" s="83">
        <f>C21*Inputs!D97+D105</f>
        <v>0</v>
      </c>
    </row>
    <row r="22" spans="1:5" ht="12.75" customHeight="1">
      <c r="A22" s="84" t="str">
        <f>"      "&amp;Labels!B92</f>
        <v xml:space="preserve">      Series A</v>
      </c>
      <c r="B22" s="85">
        <f>0*Inputs!B97+B106</f>
        <v>0</v>
      </c>
      <c r="C22" s="85">
        <f>B22*Inputs!C97+C106</f>
        <v>0</v>
      </c>
      <c r="D22" s="86">
        <f>C22*Inputs!D97+D106</f>
        <v>0</v>
      </c>
    </row>
    <row r="25" spans="1:5" ht="12.75" customHeight="1">
      <c r="A25" s="215" t="str">
        <f>"Net Units of Securities at End of Round"</f>
        <v>Net Units of Securities at End of Round</v>
      </c>
      <c r="B25" s="215"/>
      <c r="C25" s="215"/>
      <c r="D25" s="215"/>
    </row>
    <row r="26" spans="1:5" ht="12.75" customHeight="1">
      <c r="A26" s="1" t="str">
        <f>" "</f>
        <v xml:space="preserve"> </v>
      </c>
    </row>
    <row r="27" spans="1:5" ht="12.75" customHeight="1">
      <c r="B27" s="6" t="str">
        <f>Labels!B78</f>
        <v>Seed</v>
      </c>
      <c r="C27" s="7" t="str">
        <f>Labels!B79</f>
        <v>Round A</v>
      </c>
      <c r="D27" s="7" t="str">
        <f>Labels!B80</f>
        <v>Exit</v>
      </c>
      <c r="E27" s="17" t="str">
        <f>Labels!C77</f>
        <v>Total</v>
      </c>
    </row>
    <row r="28" spans="1:5" ht="12.75" customHeight="1">
      <c r="A28" s="11" t="str">
        <f>Labels!B58</f>
        <v>Net Units</v>
      </c>
      <c r="B28" s="78"/>
      <c r="C28" s="78"/>
      <c r="D28" s="78"/>
      <c r="E28" s="87"/>
    </row>
    <row r="29" spans="1:5" ht="12.75" customHeight="1">
      <c r="A29" s="13" t="str">
        <f>"   "&amp;Labels!B83</f>
        <v xml:space="preserve">   Conv Note</v>
      </c>
      <c r="B29" s="80"/>
      <c r="C29" s="80"/>
      <c r="D29" s="80"/>
      <c r="E29" s="62"/>
    </row>
    <row r="30" spans="1:5" ht="12.75" customHeight="1">
      <c r="A30" s="69" t="str">
        <f>"      "&amp;Labels!B84</f>
        <v xml:space="preserve">      Series B</v>
      </c>
      <c r="B30" s="82">
        <f t="shared" ref="B30:D31" si="0">0/3/2</f>
        <v>0</v>
      </c>
      <c r="C30" s="82">
        <f t="shared" si="0"/>
        <v>0</v>
      </c>
      <c r="D30" s="82">
        <f t="shared" si="0"/>
        <v>0</v>
      </c>
      <c r="E30" s="62">
        <f>SUM(B30:D30)</f>
        <v>0</v>
      </c>
    </row>
    <row r="31" spans="1:5" ht="12.75" customHeight="1">
      <c r="A31" s="69" t="str">
        <f>"      "&amp;Labels!B85</f>
        <v xml:space="preserve">      Series A</v>
      </c>
      <c r="B31" s="82">
        <f t="shared" si="0"/>
        <v>0</v>
      </c>
      <c r="C31" s="82">
        <f t="shared" si="0"/>
        <v>0</v>
      </c>
      <c r="D31" s="82">
        <f t="shared" si="0"/>
        <v>0</v>
      </c>
      <c r="E31" s="62">
        <f>SUM(B31:D31)</f>
        <v>0</v>
      </c>
    </row>
    <row r="32" spans="1:5" ht="12.75" customHeight="1">
      <c r="A32" s="13" t="str">
        <f>"      "&amp;Labels!C83</f>
        <v xml:space="preserve">      Subtotal</v>
      </c>
      <c r="B32" s="80">
        <f>SUM(B30:B31)</f>
        <v>0</v>
      </c>
      <c r="C32" s="80">
        <f>SUM(C30:C31)</f>
        <v>0</v>
      </c>
      <c r="D32" s="80">
        <f>SUM(D30:D31)</f>
        <v>0</v>
      </c>
      <c r="E32" s="62">
        <f>SUM(E30:E31)</f>
        <v>0</v>
      </c>
    </row>
    <row r="33" spans="1:5" ht="12.75" customHeight="1">
      <c r="A33" s="13" t="str">
        <f>"   "&amp;Labels!B86</f>
        <v xml:space="preserve">   Preferred</v>
      </c>
      <c r="B33" s="80"/>
      <c r="C33" s="80"/>
      <c r="D33" s="80"/>
      <c r="E33" s="62"/>
    </row>
    <row r="34" spans="1:5" ht="12.75" customHeight="1">
      <c r="A34" s="69" t="str">
        <f>"      "&amp;Labels!B87</f>
        <v xml:space="preserve">      Series A</v>
      </c>
      <c r="B34" s="82">
        <f>B85-B100</f>
        <v>0</v>
      </c>
      <c r="C34" s="82">
        <f>C85-C100</f>
        <v>0</v>
      </c>
      <c r="D34" s="82">
        <f>D85-D100</f>
        <v>0</v>
      </c>
      <c r="E34" s="62">
        <f>SUM(B34:D34)</f>
        <v>0</v>
      </c>
    </row>
    <row r="35" spans="1:5" ht="12.75" customHeight="1">
      <c r="A35" s="13" t="str">
        <f>"      "&amp;Labels!C86</f>
        <v xml:space="preserve">      Subtotal</v>
      </c>
      <c r="B35" s="80">
        <f>B34</f>
        <v>0</v>
      </c>
      <c r="C35" s="80">
        <f>C34</f>
        <v>0</v>
      </c>
      <c r="D35" s="80">
        <f>D34</f>
        <v>0</v>
      </c>
      <c r="E35" s="62">
        <f>E34</f>
        <v>0</v>
      </c>
    </row>
    <row r="36" spans="1:5" ht="12.75" customHeight="1">
      <c r="A36" s="13" t="str">
        <f>"   "&amp;Labels!B88</f>
        <v xml:space="preserve">   Common</v>
      </c>
      <c r="B36" s="80">
        <f>B87+B108</f>
        <v>100000</v>
      </c>
      <c r="C36" s="80">
        <f>C87+C108</f>
        <v>100000</v>
      </c>
      <c r="D36" s="80">
        <f>D87+D108</f>
        <v>100000</v>
      </c>
      <c r="E36" s="62">
        <f>SUM(B36:D36)</f>
        <v>300000</v>
      </c>
    </row>
    <row r="37" spans="1:5" ht="12.75" customHeight="1">
      <c r="A37" s="13" t="str">
        <f>"   "&amp;Labels!B89</f>
        <v xml:space="preserve">   Warrant</v>
      </c>
      <c r="B37" s="80">
        <f>B88-B103</f>
        <v>0</v>
      </c>
      <c r="C37" s="80">
        <f>C88-C103</f>
        <v>0</v>
      </c>
      <c r="D37" s="80">
        <f>D88-D103</f>
        <v>0</v>
      </c>
      <c r="E37" s="62">
        <f>SUM(B37:D37)</f>
        <v>0</v>
      </c>
    </row>
    <row r="38" spans="1:5" ht="12.75" customHeight="1">
      <c r="A38" s="13" t="str">
        <f>"   "&amp;Labels!B90</f>
        <v xml:space="preserve">   Option</v>
      </c>
      <c r="B38" s="80"/>
      <c r="C38" s="80"/>
      <c r="D38" s="80"/>
      <c r="E38" s="62"/>
    </row>
    <row r="39" spans="1:5" ht="12.75" customHeight="1">
      <c r="A39" s="69" t="str">
        <f>"      "&amp;Labels!B91</f>
        <v xml:space="preserve">      Series B</v>
      </c>
      <c r="B39" s="82">
        <f t="shared" ref="B39:D40" si="1">B90-B105</f>
        <v>0</v>
      </c>
      <c r="C39" s="82">
        <f t="shared" si="1"/>
        <v>0</v>
      </c>
      <c r="D39" s="82">
        <f t="shared" si="1"/>
        <v>0</v>
      </c>
      <c r="E39" s="62">
        <f>SUM(B39:D39)</f>
        <v>0</v>
      </c>
    </row>
    <row r="40" spans="1:5" ht="12.75" customHeight="1">
      <c r="A40" s="69" t="str">
        <f>"      "&amp;Labels!B92</f>
        <v xml:space="preserve">      Series A</v>
      </c>
      <c r="B40" s="82">
        <f t="shared" si="1"/>
        <v>0</v>
      </c>
      <c r="C40" s="82">
        <f t="shared" si="1"/>
        <v>0</v>
      </c>
      <c r="D40" s="82">
        <f t="shared" si="1"/>
        <v>0</v>
      </c>
      <c r="E40" s="62">
        <f>SUM(B40:D40)</f>
        <v>0</v>
      </c>
    </row>
    <row r="41" spans="1:5" ht="12.75" customHeight="1">
      <c r="A41" s="13" t="str">
        <f>"      "&amp;Labels!C90</f>
        <v xml:space="preserve">      Subtotal</v>
      </c>
      <c r="B41" s="80">
        <f>SUM(B39:B40)</f>
        <v>0</v>
      </c>
      <c r="C41" s="80">
        <f>SUM(C39:C40)</f>
        <v>0</v>
      </c>
      <c r="D41" s="80">
        <f>SUM(D39:D40)</f>
        <v>0</v>
      </c>
      <c r="E41" s="62">
        <f>SUM(E39:E40)</f>
        <v>0</v>
      </c>
    </row>
    <row r="42" spans="1:5" ht="12.75" customHeight="1">
      <c r="A42" s="21" t="str">
        <f>"   "&amp;Labels!C82</f>
        <v xml:space="preserve">   Total</v>
      </c>
      <c r="B42" s="64">
        <f>SUM(B32,B35:B37,B41)</f>
        <v>100000</v>
      </c>
      <c r="C42" s="64">
        <f>SUM(C32,C35:C37,C41)</f>
        <v>100000</v>
      </c>
      <c r="D42" s="64">
        <f>SUM(D32,D35:D37,D41)</f>
        <v>100000</v>
      </c>
      <c r="E42" s="65">
        <f>SUM(E32,E35:E37,E41)</f>
        <v>300000</v>
      </c>
    </row>
    <row r="45" spans="1:5" ht="12.75" customHeight="1" collapsed="1">
      <c r="A45" s="215" t="str">
        <f>"Net Units During Rounds"</f>
        <v>Net Units During Rounds</v>
      </c>
      <c r="B45" s="215"/>
      <c r="C45" s="215"/>
    </row>
    <row r="46" spans="1:5" ht="12.75" hidden="1" customHeight="1" outlineLevel="1">
      <c r="A46" s="1" t="str">
        <f>" "</f>
        <v xml:space="preserve"> </v>
      </c>
    </row>
    <row r="47" spans="1:5" ht="12.75" hidden="1" customHeight="1" outlineLevel="1">
      <c r="B47" s="6" t="str">
        <f>Labels!B78</f>
        <v>Seed</v>
      </c>
      <c r="C47" s="7" t="str">
        <f>Labels!B79</f>
        <v>Round A</v>
      </c>
      <c r="D47" s="7" t="str">
        <f>Labels!B80</f>
        <v>Exit</v>
      </c>
      <c r="E47" s="17" t="str">
        <f>Labels!C77</f>
        <v>Total</v>
      </c>
    </row>
    <row r="48" spans="1:5" ht="12.75" hidden="1" customHeight="1" outlineLevel="1">
      <c r="A48" s="11" t="str">
        <f>Labels!B58</f>
        <v>Net Units</v>
      </c>
      <c r="B48" s="78"/>
      <c r="C48" s="78"/>
      <c r="D48" s="78"/>
      <c r="E48" s="87"/>
    </row>
    <row r="49" spans="1:5" ht="12.75" hidden="1" customHeight="1" outlineLevel="1">
      <c r="A49" s="13" t="str">
        <f>"   "&amp;Labels!B71</f>
        <v xml:space="preserve">   Start</v>
      </c>
      <c r="B49" s="80"/>
      <c r="C49" s="80"/>
      <c r="D49" s="80"/>
      <c r="E49" s="62"/>
    </row>
    <row r="50" spans="1:5" ht="12.75" hidden="1" customHeight="1" outlineLevel="1">
      <c r="A50" s="69" t="str">
        <f>"      "&amp;Labels!B83</f>
        <v xml:space="preserve">      Conv Note</v>
      </c>
      <c r="B50" s="82"/>
      <c r="C50" s="82"/>
      <c r="D50" s="82"/>
      <c r="E50" s="62"/>
    </row>
    <row r="51" spans="1:5" ht="12.75" hidden="1" customHeight="1" outlineLevel="1">
      <c r="A51" s="69" t="str">
        <f>"         "&amp;Labels!B84</f>
        <v xml:space="preserve">         Series B</v>
      </c>
      <c r="B51" s="88">
        <f>0*Inputs!B97</f>
        <v>0</v>
      </c>
      <c r="C51" s="88">
        <f>B30*Inputs!C97</f>
        <v>0</v>
      </c>
      <c r="D51" s="88">
        <f>C30*Inputs!D97</f>
        <v>0</v>
      </c>
      <c r="E51" s="62">
        <f>SUM(B51:D51)</f>
        <v>0</v>
      </c>
    </row>
    <row r="52" spans="1:5" ht="12.75" hidden="1" customHeight="1" outlineLevel="1">
      <c r="A52" s="69" t="str">
        <f>"         "&amp;Labels!B85</f>
        <v xml:space="preserve">         Series A</v>
      </c>
      <c r="B52" s="88">
        <f>0*Inputs!B97</f>
        <v>0</v>
      </c>
      <c r="C52" s="88">
        <f>B31*Inputs!C97</f>
        <v>0</v>
      </c>
      <c r="D52" s="88">
        <f>C31*Inputs!D97</f>
        <v>0</v>
      </c>
      <c r="E52" s="62">
        <f>SUM(B52:D52)</f>
        <v>0</v>
      </c>
    </row>
    <row r="53" spans="1:5" ht="12.75" hidden="1" customHeight="1" outlineLevel="1">
      <c r="A53" s="69" t="str">
        <f>"         "&amp;Labels!C83</f>
        <v xml:space="preserve">         Subtotal</v>
      </c>
      <c r="B53" s="82">
        <f>SUM(B51:B52)</f>
        <v>0</v>
      </c>
      <c r="C53" s="82">
        <f>SUM(C51:C52)</f>
        <v>0</v>
      </c>
      <c r="D53" s="82">
        <f>SUM(D51:D52)</f>
        <v>0</v>
      </c>
      <c r="E53" s="62">
        <f>SUM(E51:E52)</f>
        <v>0</v>
      </c>
    </row>
    <row r="54" spans="1:5" ht="12.75" hidden="1" customHeight="1" outlineLevel="1">
      <c r="A54" s="69" t="str">
        <f>"      "&amp;Labels!B86</f>
        <v xml:space="preserve">      Preferred</v>
      </c>
      <c r="B54" s="82"/>
      <c r="C54" s="82"/>
      <c r="D54" s="82"/>
      <c r="E54" s="62"/>
    </row>
    <row r="55" spans="1:5" ht="12.75" hidden="1" customHeight="1" outlineLevel="1">
      <c r="A55" s="69" t="str">
        <f>"         "&amp;Labels!B87</f>
        <v xml:space="preserve">         Series A</v>
      </c>
      <c r="B55" s="88">
        <f>0*Inputs!B97</f>
        <v>0</v>
      </c>
      <c r="C55" s="88">
        <f>B34*Inputs!C97</f>
        <v>0</v>
      </c>
      <c r="D55" s="88">
        <f>C34*Inputs!D97</f>
        <v>0</v>
      </c>
      <c r="E55" s="62">
        <f>SUM(B55:D55)</f>
        <v>0</v>
      </c>
    </row>
    <row r="56" spans="1:5" ht="12.75" hidden="1" customHeight="1" outlineLevel="1">
      <c r="A56" s="69" t="str">
        <f>"         "&amp;Labels!C86</f>
        <v xml:space="preserve">         Subtotal</v>
      </c>
      <c r="B56" s="82">
        <f>B55</f>
        <v>0</v>
      </c>
      <c r="C56" s="82">
        <f>C55</f>
        <v>0</v>
      </c>
      <c r="D56" s="82">
        <f>D55</f>
        <v>0</v>
      </c>
      <c r="E56" s="62">
        <f>E55</f>
        <v>0</v>
      </c>
    </row>
    <row r="57" spans="1:5" ht="12.75" hidden="1" customHeight="1" outlineLevel="1">
      <c r="A57" s="69" t="str">
        <f>"      "&amp;Labels!B88</f>
        <v xml:space="preserve">      Common</v>
      </c>
      <c r="B57" s="82">
        <f>0*Inputs!B97</f>
        <v>0</v>
      </c>
      <c r="C57" s="82">
        <f>B36*Inputs!C97</f>
        <v>100000</v>
      </c>
      <c r="D57" s="82">
        <f>C36*Inputs!D97</f>
        <v>100000</v>
      </c>
      <c r="E57" s="62">
        <f>SUM(B57:D57)</f>
        <v>200000</v>
      </c>
    </row>
    <row r="58" spans="1:5" ht="12.75" hidden="1" customHeight="1" outlineLevel="1">
      <c r="A58" s="69" t="str">
        <f>"      "&amp;Labels!B89</f>
        <v xml:space="preserve">      Warrant</v>
      </c>
      <c r="B58" s="82">
        <f>0*Inputs!B97</f>
        <v>0</v>
      </c>
      <c r="C58" s="82">
        <f>B37*Inputs!C97</f>
        <v>0</v>
      </c>
      <c r="D58" s="82">
        <f>C37*Inputs!D97</f>
        <v>0</v>
      </c>
      <c r="E58" s="62">
        <f>SUM(B58:D58)</f>
        <v>0</v>
      </c>
    </row>
    <row r="59" spans="1:5" ht="12.75" hidden="1" customHeight="1" outlineLevel="1">
      <c r="A59" s="69" t="str">
        <f>"      "&amp;Labels!B90</f>
        <v xml:space="preserve">      Option</v>
      </c>
      <c r="B59" s="82"/>
      <c r="C59" s="82"/>
      <c r="D59" s="82"/>
      <c r="E59" s="62"/>
    </row>
    <row r="60" spans="1:5" ht="12.75" hidden="1" customHeight="1" outlineLevel="1">
      <c r="A60" s="69" t="str">
        <f>"         "&amp;Labels!B91</f>
        <v xml:space="preserve">         Series B</v>
      </c>
      <c r="B60" s="88">
        <f>0*Inputs!B97</f>
        <v>0</v>
      </c>
      <c r="C60" s="88">
        <f>B39*Inputs!C97</f>
        <v>0</v>
      </c>
      <c r="D60" s="88">
        <f>C39*Inputs!D97</f>
        <v>0</v>
      </c>
      <c r="E60" s="62">
        <f>SUM(B60:D60)</f>
        <v>0</v>
      </c>
    </row>
    <row r="61" spans="1:5" ht="12.75" hidden="1" customHeight="1" outlineLevel="1">
      <c r="A61" s="69" t="str">
        <f>"         "&amp;Labels!B92</f>
        <v xml:space="preserve">         Series A</v>
      </c>
      <c r="B61" s="88">
        <f>0*Inputs!B97</f>
        <v>0</v>
      </c>
      <c r="C61" s="88">
        <f>B40*Inputs!C97</f>
        <v>0</v>
      </c>
      <c r="D61" s="88">
        <f>C40*Inputs!D97</f>
        <v>0</v>
      </c>
      <c r="E61" s="62">
        <f>SUM(B61:D61)</f>
        <v>0</v>
      </c>
    </row>
    <row r="62" spans="1:5" ht="12.75" hidden="1" customHeight="1" outlineLevel="1">
      <c r="A62" s="69" t="str">
        <f>"         "&amp;Labels!C90</f>
        <v xml:space="preserve">         Subtotal</v>
      </c>
      <c r="B62" s="82">
        <f>SUM(B60:B61)</f>
        <v>0</v>
      </c>
      <c r="C62" s="82">
        <f>SUM(C60:C61)</f>
        <v>0</v>
      </c>
      <c r="D62" s="82">
        <f>SUM(D60:D61)</f>
        <v>0</v>
      </c>
      <c r="E62" s="62">
        <f>SUM(E60:E61)</f>
        <v>0</v>
      </c>
    </row>
    <row r="63" spans="1:5" ht="12.75" hidden="1" customHeight="1" outlineLevel="1">
      <c r="A63" s="13" t="str">
        <f>"      "&amp;Labels!C82</f>
        <v xml:space="preserve">      Total</v>
      </c>
      <c r="B63" s="80">
        <f>SUM(B53,B56:B58,B62)</f>
        <v>0</v>
      </c>
      <c r="C63" s="80">
        <f>SUM(C53,C56:C58,C62)</f>
        <v>100000</v>
      </c>
      <c r="D63" s="80">
        <f>SUM(D53,D56:D58,D62)</f>
        <v>100000</v>
      </c>
      <c r="E63" s="62">
        <f>SUM(E53,E56:E58,E62)</f>
        <v>200000</v>
      </c>
    </row>
    <row r="64" spans="1:5" ht="12.75" hidden="1" customHeight="1" outlineLevel="1">
      <c r="A64" s="13" t="str">
        <f>"   "&amp;Labels!B72</f>
        <v xml:space="preserve">   New Sales</v>
      </c>
      <c r="B64" s="80"/>
      <c r="C64" s="80"/>
      <c r="D64" s="80"/>
      <c r="E64" s="62"/>
    </row>
    <row r="65" spans="1:5" ht="12.75" hidden="1" customHeight="1" outlineLevel="1">
      <c r="A65" s="69" t="str">
        <f>"      "&amp;Labels!B83</f>
        <v xml:space="preserve">      Conv Note</v>
      </c>
      <c r="B65" s="82"/>
      <c r="C65" s="82"/>
      <c r="D65" s="82"/>
      <c r="E65" s="62"/>
    </row>
    <row r="66" spans="1:5" ht="12.75" hidden="1" customHeight="1" outlineLevel="1">
      <c r="A66" s="69" t="str">
        <f>"         "&amp;Labels!B84</f>
        <v xml:space="preserve">         Series B</v>
      </c>
      <c r="B66" s="88">
        <f t="shared" ref="B66:D67" si="2">0/3/2</f>
        <v>0</v>
      </c>
      <c r="C66" s="88">
        <f t="shared" si="2"/>
        <v>0</v>
      </c>
      <c r="D66" s="88">
        <f t="shared" si="2"/>
        <v>0</v>
      </c>
      <c r="E66" s="62">
        <f>SUM(B66:D66)</f>
        <v>0</v>
      </c>
    </row>
    <row r="67" spans="1:5" ht="12.75" hidden="1" customHeight="1" outlineLevel="1">
      <c r="A67" s="69" t="str">
        <f>"         "&amp;Labels!B85</f>
        <v xml:space="preserve">         Series A</v>
      </c>
      <c r="B67" s="88">
        <f t="shared" si="2"/>
        <v>0</v>
      </c>
      <c r="C67" s="88">
        <f t="shared" si="2"/>
        <v>0</v>
      </c>
      <c r="D67" s="88">
        <f t="shared" si="2"/>
        <v>0</v>
      </c>
      <c r="E67" s="62">
        <f>SUM(B67:D67)</f>
        <v>0</v>
      </c>
    </row>
    <row r="68" spans="1:5" ht="12.75" hidden="1" customHeight="1" outlineLevel="1">
      <c r="A68" s="69" t="str">
        <f>"         "&amp;Labels!C83</f>
        <v xml:space="preserve">         Subtotal</v>
      </c>
      <c r="B68" s="82">
        <f>SUM(B66:B67)</f>
        <v>0</v>
      </c>
      <c r="C68" s="82">
        <f>SUM(C66:C67)</f>
        <v>0</v>
      </c>
      <c r="D68" s="82">
        <f>SUM(D66:D67)</f>
        <v>0</v>
      </c>
      <c r="E68" s="62">
        <f>SUM(E66:E67)</f>
        <v>0</v>
      </c>
    </row>
    <row r="69" spans="1:5" ht="12.75" hidden="1" customHeight="1" outlineLevel="1">
      <c r="A69" s="69" t="str">
        <f>"      "&amp;Labels!B86</f>
        <v xml:space="preserve">      Preferred</v>
      </c>
      <c r="B69" s="82"/>
      <c r="C69" s="82"/>
      <c r="D69" s="82"/>
      <c r="E69" s="62"/>
    </row>
    <row r="70" spans="1:5" ht="12.75" hidden="1" customHeight="1" outlineLevel="1">
      <c r="A70" s="69" t="str">
        <f>"         "&amp;Labels!B87</f>
        <v xml:space="preserve">         Series A</v>
      </c>
      <c r="B70" s="88">
        <f>Investment!B233/'(Other Computations)'!B23/(1-Inputs!B68)</f>
        <v>0</v>
      </c>
      <c r="C70" s="88">
        <f>Investment!C233/'(Other Computations)'!C23/(1-Inputs!C68)</f>
        <v>0</v>
      </c>
      <c r="D70" s="88">
        <f>Investment!D233/'(Other Computations)'!D23/(1-Inputs!D68)</f>
        <v>0</v>
      </c>
      <c r="E70" s="62">
        <f>SUM(B70:D70)</f>
        <v>0</v>
      </c>
    </row>
    <row r="71" spans="1:5" ht="12.75" hidden="1" customHeight="1" outlineLevel="1">
      <c r="A71" s="69" t="str">
        <f>"         "&amp;Labels!C86</f>
        <v xml:space="preserve">         Subtotal</v>
      </c>
      <c r="B71" s="82">
        <f>B70</f>
        <v>0</v>
      </c>
      <c r="C71" s="82">
        <f>C70</f>
        <v>0</v>
      </c>
      <c r="D71" s="82">
        <f>D70</f>
        <v>0</v>
      </c>
      <c r="E71" s="62">
        <f>E70</f>
        <v>0</v>
      </c>
    </row>
    <row r="72" spans="1:5" ht="12.75" hidden="1" customHeight="1" outlineLevel="1">
      <c r="A72" s="69" t="str">
        <f>"      "&amp;Labels!B88</f>
        <v xml:space="preserve">      Common</v>
      </c>
      <c r="B72" s="82">
        <f>IF('(Other Computations)'!B25=0,0,Investment!B235/'(Other Computations)'!B25)</f>
        <v>100000</v>
      </c>
      <c r="C72" s="82">
        <f>IF('(Other Computations)'!C25=0,0,Investment!C235/'(Other Computations)'!C25)</f>
        <v>0</v>
      </c>
      <c r="D72" s="82">
        <f>IF('(Other Computations)'!D25=0,0,Investment!D235/'(Other Computations)'!D25)</f>
        <v>0</v>
      </c>
      <c r="E72" s="62">
        <f>SUM(B72:D72)</f>
        <v>100000</v>
      </c>
    </row>
    <row r="73" spans="1:5" ht="12.75" hidden="1" customHeight="1" outlineLevel="1">
      <c r="A73" s="69" t="str">
        <f>"      "&amp;Labels!B89</f>
        <v xml:space="preserve">      Warrant</v>
      </c>
      <c r="B73" s="82">
        <f>'(Other Computations)'!B119</f>
        <v>0</v>
      </c>
      <c r="C73" s="82">
        <f>'(Other Computations)'!C119</f>
        <v>0</v>
      </c>
      <c r="D73" s="82">
        <f>'(Other Computations)'!D119</f>
        <v>0</v>
      </c>
      <c r="E73" s="62">
        <f>SUM(B73:D73)</f>
        <v>0</v>
      </c>
    </row>
    <row r="74" spans="1:5" ht="12.75" hidden="1" customHeight="1" outlineLevel="1">
      <c r="A74" s="69" t="str">
        <f>"      "&amp;Labels!B90</f>
        <v xml:space="preserve">      Option</v>
      </c>
      <c r="B74" s="82"/>
      <c r="C74" s="82"/>
      <c r="D74" s="82"/>
      <c r="E74" s="62"/>
    </row>
    <row r="75" spans="1:5" ht="12.75" hidden="1" customHeight="1" outlineLevel="1">
      <c r="A75" s="69" t="str">
        <f>"         "&amp;Labels!B91</f>
        <v xml:space="preserve">         Series B</v>
      </c>
      <c r="B75" s="88">
        <f>'(Other Computations)'!B121</f>
        <v>0</v>
      </c>
      <c r="C75" s="88">
        <f>'(Other Computations)'!C121</f>
        <v>0</v>
      </c>
      <c r="D75" s="88">
        <f>'(Other Computations)'!D121</f>
        <v>0</v>
      </c>
      <c r="E75" s="62">
        <f>SUM(B75:D75)</f>
        <v>0</v>
      </c>
    </row>
    <row r="76" spans="1:5" ht="12.75" hidden="1" customHeight="1" outlineLevel="1">
      <c r="A76" s="69" t="str">
        <f>"         "&amp;Labels!B92</f>
        <v xml:space="preserve">         Series A</v>
      </c>
      <c r="B76" s="88">
        <f>'(Other Computations)'!B122</f>
        <v>0</v>
      </c>
      <c r="C76" s="88">
        <f>'(Other Computations)'!C122</f>
        <v>0</v>
      </c>
      <c r="D76" s="88">
        <f>'(Other Computations)'!D122</f>
        <v>0</v>
      </c>
      <c r="E76" s="62">
        <f>SUM(B76:D76)</f>
        <v>0</v>
      </c>
    </row>
    <row r="77" spans="1:5" ht="12.75" hidden="1" customHeight="1" outlineLevel="1">
      <c r="A77" s="69" t="str">
        <f>"         "&amp;Labels!C90</f>
        <v xml:space="preserve">         Subtotal</v>
      </c>
      <c r="B77" s="82">
        <f>SUM(B75:B76)</f>
        <v>0</v>
      </c>
      <c r="C77" s="82">
        <f>SUM(C75:C76)</f>
        <v>0</v>
      </c>
      <c r="D77" s="82">
        <f>SUM(D75:D76)</f>
        <v>0</v>
      </c>
      <c r="E77" s="62">
        <f>SUM(E75:E76)</f>
        <v>0</v>
      </c>
    </row>
    <row r="78" spans="1:5" ht="12.75" hidden="1" customHeight="1" outlineLevel="1">
      <c r="A78" s="13" t="str">
        <f>"      "&amp;Labels!C82</f>
        <v xml:space="preserve">      Total</v>
      </c>
      <c r="B78" s="80">
        <f>SUM(B68,B71:B73,B77)</f>
        <v>100000</v>
      </c>
      <c r="C78" s="80">
        <f>SUM(C68,C71:C73,C77)</f>
        <v>0</v>
      </c>
      <c r="D78" s="80">
        <f>SUM(D68,D71:D73,D77)</f>
        <v>0</v>
      </c>
      <c r="E78" s="62">
        <f>SUM(E68,E71:E73,E77)</f>
        <v>100000</v>
      </c>
    </row>
    <row r="79" spans="1:5" ht="12.75" hidden="1" customHeight="1" outlineLevel="1">
      <c r="A79" s="13" t="str">
        <f>"   "&amp;Labels!B73</f>
        <v xml:space="preserve">   Post Sales</v>
      </c>
      <c r="B79" s="80"/>
      <c r="C79" s="80"/>
      <c r="D79" s="80"/>
      <c r="E79" s="62"/>
    </row>
    <row r="80" spans="1:5" ht="12.75" hidden="1" customHeight="1" outlineLevel="1">
      <c r="A80" s="69" t="str">
        <f>"      "&amp;Labels!B83</f>
        <v xml:space="preserve">      Conv Note</v>
      </c>
      <c r="B80" s="82"/>
      <c r="C80" s="82"/>
      <c r="D80" s="82"/>
      <c r="E80" s="62"/>
    </row>
    <row r="81" spans="1:5" ht="12.75" hidden="1" customHeight="1" outlineLevel="1">
      <c r="A81" s="69" t="str">
        <f>"         "&amp;Labels!B84</f>
        <v xml:space="preserve">         Series B</v>
      </c>
      <c r="B81" s="88">
        <f t="shared" ref="B81:D82" si="3">B51+B66</f>
        <v>0</v>
      </c>
      <c r="C81" s="88">
        <f t="shared" si="3"/>
        <v>0</v>
      </c>
      <c r="D81" s="88">
        <f t="shared" si="3"/>
        <v>0</v>
      </c>
      <c r="E81" s="62">
        <f>SUM(B81:D81)</f>
        <v>0</v>
      </c>
    </row>
    <row r="82" spans="1:5" ht="12.75" hidden="1" customHeight="1" outlineLevel="1">
      <c r="A82" s="69" t="str">
        <f>"         "&amp;Labels!B85</f>
        <v xml:space="preserve">         Series A</v>
      </c>
      <c r="B82" s="88">
        <f t="shared" si="3"/>
        <v>0</v>
      </c>
      <c r="C82" s="88">
        <f t="shared" si="3"/>
        <v>0</v>
      </c>
      <c r="D82" s="88">
        <f t="shared" si="3"/>
        <v>0</v>
      </c>
      <c r="E82" s="62">
        <f>SUM(B82:D82)</f>
        <v>0</v>
      </c>
    </row>
    <row r="83" spans="1:5" ht="12.75" hidden="1" customHeight="1" outlineLevel="1">
      <c r="A83" s="69" t="str">
        <f>"         "&amp;Labels!C83</f>
        <v xml:space="preserve">         Subtotal</v>
      </c>
      <c r="B83" s="82">
        <f>SUM(B81:B82)</f>
        <v>0</v>
      </c>
      <c r="C83" s="82">
        <f>SUM(C81:C82)</f>
        <v>0</v>
      </c>
      <c r="D83" s="82">
        <f>SUM(D81:D82)</f>
        <v>0</v>
      </c>
      <c r="E83" s="62">
        <f>SUM(E81:E82)</f>
        <v>0</v>
      </c>
    </row>
    <row r="84" spans="1:5" ht="12.75" hidden="1" customHeight="1" outlineLevel="1">
      <c r="A84" s="69" t="str">
        <f>"      "&amp;Labels!B86</f>
        <v xml:space="preserve">      Preferred</v>
      </c>
      <c r="B84" s="82"/>
      <c r="C84" s="82"/>
      <c r="D84" s="82"/>
      <c r="E84" s="62"/>
    </row>
    <row r="85" spans="1:5" ht="12.75" hidden="1" customHeight="1" outlineLevel="1">
      <c r="A85" s="69" t="str">
        <f>"         "&amp;Labels!B87</f>
        <v xml:space="preserve">         Series A</v>
      </c>
      <c r="B85" s="88">
        <f>B55+B70</f>
        <v>0</v>
      </c>
      <c r="C85" s="88">
        <f>C55+C70</f>
        <v>0</v>
      </c>
      <c r="D85" s="88">
        <f>D55+D70</f>
        <v>0</v>
      </c>
      <c r="E85" s="62">
        <f>SUM(B85:D85)</f>
        <v>0</v>
      </c>
    </row>
    <row r="86" spans="1:5" ht="12.75" hidden="1" customHeight="1" outlineLevel="1">
      <c r="A86" s="69" t="str">
        <f>"         "&amp;Labels!C86</f>
        <v xml:space="preserve">         Subtotal</v>
      </c>
      <c r="B86" s="82">
        <f>B85</f>
        <v>0</v>
      </c>
      <c r="C86" s="82">
        <f>C85</f>
        <v>0</v>
      </c>
      <c r="D86" s="82">
        <f>D85</f>
        <v>0</v>
      </c>
      <c r="E86" s="62">
        <f>E85</f>
        <v>0</v>
      </c>
    </row>
    <row r="87" spans="1:5" ht="12.75" hidden="1" customHeight="1" outlineLevel="1">
      <c r="A87" s="69" t="str">
        <f>"      "&amp;Labels!B88</f>
        <v xml:space="preserve">      Common</v>
      </c>
      <c r="B87" s="82">
        <f t="shared" ref="B87:D88" si="4">B57+B72</f>
        <v>100000</v>
      </c>
      <c r="C87" s="82">
        <f t="shared" si="4"/>
        <v>100000</v>
      </c>
      <c r="D87" s="82">
        <f t="shared" si="4"/>
        <v>100000</v>
      </c>
      <c r="E87" s="62">
        <f>SUM(B87:D87)</f>
        <v>300000</v>
      </c>
    </row>
    <row r="88" spans="1:5" ht="12.75" hidden="1" customHeight="1" outlineLevel="1">
      <c r="A88" s="69" t="str">
        <f>"      "&amp;Labels!B89</f>
        <v xml:space="preserve">      Warrant</v>
      </c>
      <c r="B88" s="82">
        <f t="shared" si="4"/>
        <v>0</v>
      </c>
      <c r="C88" s="82">
        <f t="shared" si="4"/>
        <v>0</v>
      </c>
      <c r="D88" s="82">
        <f t="shared" si="4"/>
        <v>0</v>
      </c>
      <c r="E88" s="62">
        <f>SUM(B88:D88)</f>
        <v>0</v>
      </c>
    </row>
    <row r="89" spans="1:5" ht="12.75" hidden="1" customHeight="1" outlineLevel="1">
      <c r="A89" s="69" t="str">
        <f>"      "&amp;Labels!B90</f>
        <v xml:space="preserve">      Option</v>
      </c>
      <c r="B89" s="82"/>
      <c r="C89" s="82"/>
      <c r="D89" s="82"/>
      <c r="E89" s="62"/>
    </row>
    <row r="90" spans="1:5" ht="12.75" hidden="1" customHeight="1" outlineLevel="1">
      <c r="A90" s="69" t="str">
        <f>"         "&amp;Labels!B91</f>
        <v xml:space="preserve">         Series B</v>
      </c>
      <c r="B90" s="88">
        <f t="shared" ref="B90:D91" si="5">B60+B75</f>
        <v>0</v>
      </c>
      <c r="C90" s="88">
        <f t="shared" si="5"/>
        <v>0</v>
      </c>
      <c r="D90" s="88">
        <f t="shared" si="5"/>
        <v>0</v>
      </c>
      <c r="E90" s="62">
        <f>SUM(B90:D90)</f>
        <v>0</v>
      </c>
    </row>
    <row r="91" spans="1:5" ht="12.75" hidden="1" customHeight="1" outlineLevel="1">
      <c r="A91" s="69" t="str">
        <f>"         "&amp;Labels!B92</f>
        <v xml:space="preserve">         Series A</v>
      </c>
      <c r="B91" s="88">
        <f t="shared" si="5"/>
        <v>0</v>
      </c>
      <c r="C91" s="88">
        <f t="shared" si="5"/>
        <v>0</v>
      </c>
      <c r="D91" s="88">
        <f t="shared" si="5"/>
        <v>0</v>
      </c>
      <c r="E91" s="62">
        <f>SUM(B91:D91)</f>
        <v>0</v>
      </c>
    </row>
    <row r="92" spans="1:5" ht="12.75" hidden="1" customHeight="1" outlineLevel="1">
      <c r="A92" s="69" t="str">
        <f>"         "&amp;Labels!C90</f>
        <v xml:space="preserve">         Subtotal</v>
      </c>
      <c r="B92" s="82">
        <f>SUM(B90:B91)</f>
        <v>0</v>
      </c>
      <c r="C92" s="82">
        <f>SUM(C90:C91)</f>
        <v>0</v>
      </c>
      <c r="D92" s="82">
        <f>SUM(D90:D91)</f>
        <v>0</v>
      </c>
      <c r="E92" s="62">
        <f>SUM(E90:E91)</f>
        <v>0</v>
      </c>
    </row>
    <row r="93" spans="1:5" ht="12.75" hidden="1" customHeight="1" outlineLevel="1">
      <c r="A93" s="13" t="str">
        <f>"      "&amp;Labels!C82</f>
        <v xml:space="preserve">      Total</v>
      </c>
      <c r="B93" s="80">
        <f>SUM(B83,B86:B88,B92)</f>
        <v>100000</v>
      </c>
      <c r="C93" s="80">
        <f>SUM(C83,C86:C88,C92)</f>
        <v>100000</v>
      </c>
      <c r="D93" s="80">
        <f>SUM(D83,D86:D88,D92)</f>
        <v>100000</v>
      </c>
      <c r="E93" s="62">
        <f>SUM(E83,E86:E88,E92)</f>
        <v>300000</v>
      </c>
    </row>
    <row r="94" spans="1:5" ht="12.75" hidden="1" customHeight="1" outlineLevel="1">
      <c r="A94" s="13" t="str">
        <f>"   "&amp;Labels!B74</f>
        <v xml:space="preserve">   Convert</v>
      </c>
      <c r="B94" s="80"/>
      <c r="C94" s="80"/>
      <c r="D94" s="80"/>
      <c r="E94" s="62"/>
    </row>
    <row r="95" spans="1:5" ht="12.75" hidden="1" customHeight="1" outlineLevel="1">
      <c r="A95" s="69" t="str">
        <f>"      "&amp;Labels!B83</f>
        <v xml:space="preserve">      Conv Note</v>
      </c>
      <c r="B95" s="82"/>
      <c r="C95" s="82"/>
      <c r="D95" s="82"/>
      <c r="E95" s="62"/>
    </row>
    <row r="96" spans="1:5" ht="12.75" hidden="1" customHeight="1" outlineLevel="1">
      <c r="A96" s="69" t="str">
        <f>"         "&amp;Labels!B84</f>
        <v xml:space="preserve">         Series B</v>
      </c>
      <c r="B96" s="88">
        <f>Conversion!B28*Investment!B244/'(Other Computations)'!B181/(1-Inputs!B38)</f>
        <v>0</v>
      </c>
      <c r="C96" s="88">
        <f>Conversion!C28*Investment!C244/'(Other Computations)'!C181/(1-Inputs!B38)</f>
        <v>0</v>
      </c>
      <c r="D96" s="88">
        <f>Conversion!D28*Investment!D244/'(Other Computations)'!D181/(1-Inputs!B38)</f>
        <v>0</v>
      </c>
      <c r="E96" s="62">
        <f>SUM(B96:D96)</f>
        <v>0</v>
      </c>
    </row>
    <row r="97" spans="1:5" ht="12.75" hidden="1" customHeight="1" outlineLevel="1">
      <c r="A97" s="69" t="str">
        <f>"         "&amp;Labels!B85</f>
        <v xml:space="preserve">         Series A</v>
      </c>
      <c r="B97" s="88">
        <f>Conversion!B29*Investment!B245/'(Other Computations)'!B181/(1-Inputs!B39)</f>
        <v>0</v>
      </c>
      <c r="C97" s="88">
        <f>Conversion!C29*Investment!C245/'(Other Computations)'!C181/(1-Inputs!B39)</f>
        <v>0</v>
      </c>
      <c r="D97" s="88">
        <f>Conversion!D29*Investment!D245/'(Other Computations)'!D181/(1-Inputs!B39)</f>
        <v>0</v>
      </c>
      <c r="E97" s="62">
        <f>SUM(B97:D97)</f>
        <v>0</v>
      </c>
    </row>
    <row r="98" spans="1:5" ht="12.75" hidden="1" customHeight="1" outlineLevel="1">
      <c r="A98" s="69" t="str">
        <f>"         "&amp;Labels!C83</f>
        <v xml:space="preserve">         Subtotal</v>
      </c>
      <c r="B98" s="82">
        <f>SUM(B96:B97)</f>
        <v>0</v>
      </c>
      <c r="C98" s="82">
        <f>SUM(C96:C97)</f>
        <v>0</v>
      </c>
      <c r="D98" s="82">
        <f>SUM(D96:D97)</f>
        <v>0</v>
      </c>
      <c r="E98" s="62">
        <f>SUM(E96:E97)</f>
        <v>0</v>
      </c>
    </row>
    <row r="99" spans="1:5" ht="12.75" hidden="1" customHeight="1" outlineLevel="1">
      <c r="A99" s="69" t="str">
        <f>"      "&amp;Labels!B86</f>
        <v xml:space="preserve">      Preferred</v>
      </c>
      <c r="B99" s="82"/>
      <c r="C99" s="82"/>
      <c r="D99" s="82"/>
      <c r="E99" s="62"/>
    </row>
    <row r="100" spans="1:5" ht="12.75" hidden="1" customHeight="1" outlineLevel="1">
      <c r="A100" s="69" t="str">
        <f>"         "&amp;Labels!B87</f>
        <v xml:space="preserve">         Series A</v>
      </c>
      <c r="B100" s="88">
        <f>Conversion!B31*B85</f>
        <v>0</v>
      </c>
      <c r="C100" s="88">
        <f>Conversion!C31*C85</f>
        <v>0</v>
      </c>
      <c r="D100" s="88">
        <f>Conversion!D31*D85</f>
        <v>0</v>
      </c>
      <c r="E100" s="62">
        <f>SUM(B100:D100)</f>
        <v>0</v>
      </c>
    </row>
    <row r="101" spans="1:5" ht="12.75" hidden="1" customHeight="1" outlineLevel="1">
      <c r="A101" s="69" t="str">
        <f>"         "&amp;Labels!C86</f>
        <v xml:space="preserve">         Subtotal</v>
      </c>
      <c r="B101" s="82">
        <f>B100</f>
        <v>0</v>
      </c>
      <c r="C101" s="82">
        <f>C100</f>
        <v>0</v>
      </c>
      <c r="D101" s="82">
        <f>D100</f>
        <v>0</v>
      </c>
      <c r="E101" s="62">
        <f>E100</f>
        <v>0</v>
      </c>
    </row>
    <row r="102" spans="1:5" ht="12.75" hidden="1" customHeight="1" outlineLevel="1">
      <c r="A102" s="69" t="str">
        <f>"      "&amp;Labels!B88</f>
        <v xml:space="preserve">      Common</v>
      </c>
      <c r="B102" s="82">
        <f>Conversion!B32*B87</f>
        <v>0</v>
      </c>
      <c r="C102" s="82">
        <f>Conversion!C32*C87</f>
        <v>0</v>
      </c>
      <c r="D102" s="82">
        <f>Conversion!D32*D87</f>
        <v>0</v>
      </c>
      <c r="E102" s="62">
        <f>SUM(B102:D102)</f>
        <v>0</v>
      </c>
    </row>
    <row r="103" spans="1:5" ht="12.75" hidden="1" customHeight="1" outlineLevel="1">
      <c r="A103" s="69" t="str">
        <f>"      "&amp;Labels!B89</f>
        <v xml:space="preserve">      Warrant</v>
      </c>
      <c r="B103" s="82">
        <f>Conversion!B33*B88</f>
        <v>0</v>
      </c>
      <c r="C103" s="82">
        <f>Conversion!C33*C88</f>
        <v>0</v>
      </c>
      <c r="D103" s="82">
        <f>Conversion!D33*D88</f>
        <v>0</v>
      </c>
      <c r="E103" s="62">
        <f>SUM(B103:D103)</f>
        <v>0</v>
      </c>
    </row>
    <row r="104" spans="1:5" ht="12.75" hidden="1" customHeight="1" outlineLevel="1">
      <c r="A104" s="69" t="str">
        <f>"      "&amp;Labels!B90</f>
        <v xml:space="preserve">      Option</v>
      </c>
      <c r="B104" s="82"/>
      <c r="C104" s="82"/>
      <c r="D104" s="82"/>
      <c r="E104" s="62"/>
    </row>
    <row r="105" spans="1:5" ht="12.75" hidden="1" customHeight="1" outlineLevel="1">
      <c r="A105" s="69" t="str">
        <f>"         "&amp;Labels!B91</f>
        <v xml:space="preserve">         Series B</v>
      </c>
      <c r="B105" s="88">
        <f>Conversion!B35*B90</f>
        <v>0</v>
      </c>
      <c r="C105" s="88">
        <f>Conversion!C35*C90</f>
        <v>0</v>
      </c>
      <c r="D105" s="88">
        <f>Conversion!D35*D90</f>
        <v>0</v>
      </c>
      <c r="E105" s="62">
        <f>SUM(B105:D105)</f>
        <v>0</v>
      </c>
    </row>
    <row r="106" spans="1:5" ht="12.75" hidden="1" customHeight="1" outlineLevel="1">
      <c r="A106" s="69" t="str">
        <f>"         "&amp;Labels!B92</f>
        <v xml:space="preserve">         Series A</v>
      </c>
      <c r="B106" s="88">
        <f>Conversion!B36*B91</f>
        <v>0</v>
      </c>
      <c r="C106" s="88">
        <f>Conversion!C36*C91</f>
        <v>0</v>
      </c>
      <c r="D106" s="88">
        <f>Conversion!D36*D91</f>
        <v>0</v>
      </c>
      <c r="E106" s="62">
        <f>SUM(B106:D106)</f>
        <v>0</v>
      </c>
    </row>
    <row r="107" spans="1:5" ht="12.75" hidden="1" customHeight="1" outlineLevel="1">
      <c r="A107" s="69" t="str">
        <f>"         "&amp;Labels!C90</f>
        <v xml:space="preserve">         Subtotal</v>
      </c>
      <c r="B107" s="82">
        <f>SUM(B105:B106)</f>
        <v>0</v>
      </c>
      <c r="C107" s="82">
        <f>SUM(C105:C106)</f>
        <v>0</v>
      </c>
      <c r="D107" s="82">
        <f>SUM(D105:D106)</f>
        <v>0</v>
      </c>
      <c r="E107" s="62">
        <f>SUM(E105:E106)</f>
        <v>0</v>
      </c>
    </row>
    <row r="108" spans="1:5" ht="12.75" hidden="1" customHeight="1" outlineLevel="1">
      <c r="A108" s="13" t="str">
        <f>"      "&amp;Labels!C82</f>
        <v xml:space="preserve">      Total</v>
      </c>
      <c r="B108" s="80">
        <f>SUM(B98,B101:B103,B107)</f>
        <v>0</v>
      </c>
      <c r="C108" s="80">
        <f>SUM(C98,C101:C103,C107)</f>
        <v>0</v>
      </c>
      <c r="D108" s="80">
        <f>SUM(D98,D101:D103,D107)</f>
        <v>0</v>
      </c>
      <c r="E108" s="62">
        <f>SUM(E98,E101:E103,E107)</f>
        <v>0</v>
      </c>
    </row>
    <row r="109" spans="1:5" ht="12.75" hidden="1" customHeight="1" outlineLevel="1">
      <c r="A109" s="13" t="str">
        <f>"   "&amp;Labels!B75</f>
        <v xml:space="preserve">   End</v>
      </c>
      <c r="B109" s="80"/>
      <c r="C109" s="80"/>
      <c r="D109" s="80"/>
      <c r="E109" s="62"/>
    </row>
    <row r="110" spans="1:5" ht="12.75" hidden="1" customHeight="1" outlineLevel="1">
      <c r="A110" s="69" t="str">
        <f>"      "&amp;Labels!B83</f>
        <v xml:space="preserve">      Conv Note</v>
      </c>
      <c r="B110" s="82"/>
      <c r="C110" s="82"/>
      <c r="D110" s="82"/>
      <c r="E110" s="62"/>
    </row>
    <row r="111" spans="1:5" ht="12.75" hidden="1" customHeight="1" outlineLevel="1">
      <c r="A111" s="69" t="str">
        <f>"         "&amp;Labels!B84</f>
        <v xml:space="preserve">         Series B</v>
      </c>
      <c r="B111" s="88">
        <f t="shared" ref="B111:E113" si="6">B30</f>
        <v>0</v>
      </c>
      <c r="C111" s="88">
        <f t="shared" si="6"/>
        <v>0</v>
      </c>
      <c r="D111" s="88">
        <f t="shared" si="6"/>
        <v>0</v>
      </c>
      <c r="E111" s="62">
        <f t="shared" si="6"/>
        <v>0</v>
      </c>
    </row>
    <row r="112" spans="1:5" ht="12.75" hidden="1" customHeight="1" outlineLevel="1">
      <c r="A112" s="69" t="str">
        <f>"         "&amp;Labels!B85</f>
        <v xml:space="preserve">         Series A</v>
      </c>
      <c r="B112" s="88">
        <f t="shared" si="6"/>
        <v>0</v>
      </c>
      <c r="C112" s="88">
        <f t="shared" si="6"/>
        <v>0</v>
      </c>
      <c r="D112" s="88">
        <f t="shared" si="6"/>
        <v>0</v>
      </c>
      <c r="E112" s="62">
        <f t="shared" si="6"/>
        <v>0</v>
      </c>
    </row>
    <row r="113" spans="1:5" ht="12.75" hidden="1" customHeight="1" outlineLevel="1">
      <c r="A113" s="69" t="str">
        <f>"         "&amp;Labels!C83</f>
        <v xml:space="preserve">         Subtotal</v>
      </c>
      <c r="B113" s="82">
        <f t="shared" si="6"/>
        <v>0</v>
      </c>
      <c r="C113" s="82">
        <f t="shared" si="6"/>
        <v>0</v>
      </c>
      <c r="D113" s="82">
        <f t="shared" si="6"/>
        <v>0</v>
      </c>
      <c r="E113" s="62">
        <f t="shared" si="6"/>
        <v>0</v>
      </c>
    </row>
    <row r="114" spans="1:5" ht="12.75" hidden="1" customHeight="1" outlineLevel="1">
      <c r="A114" s="69" t="str">
        <f>"      "&amp;Labels!B86</f>
        <v xml:space="preserve">      Preferred</v>
      </c>
      <c r="B114" s="82"/>
      <c r="C114" s="82"/>
      <c r="D114" s="82"/>
      <c r="E114" s="62"/>
    </row>
    <row r="115" spans="1:5" ht="12.75" hidden="1" customHeight="1" outlineLevel="1">
      <c r="A115" s="69" t="str">
        <f>"         "&amp;Labels!B87</f>
        <v xml:space="preserve">         Series A</v>
      </c>
      <c r="B115" s="88">
        <f t="shared" ref="B115:E118" si="7">B34</f>
        <v>0</v>
      </c>
      <c r="C115" s="88">
        <f t="shared" si="7"/>
        <v>0</v>
      </c>
      <c r="D115" s="88">
        <f t="shared" si="7"/>
        <v>0</v>
      </c>
      <c r="E115" s="62">
        <f t="shared" si="7"/>
        <v>0</v>
      </c>
    </row>
    <row r="116" spans="1:5" ht="12.75" hidden="1" customHeight="1" outlineLevel="1">
      <c r="A116" s="69" t="str">
        <f>"         "&amp;Labels!C86</f>
        <v xml:space="preserve">         Subtotal</v>
      </c>
      <c r="B116" s="82">
        <f t="shared" si="7"/>
        <v>0</v>
      </c>
      <c r="C116" s="82">
        <f t="shared" si="7"/>
        <v>0</v>
      </c>
      <c r="D116" s="82">
        <f t="shared" si="7"/>
        <v>0</v>
      </c>
      <c r="E116" s="62">
        <f t="shared" si="7"/>
        <v>0</v>
      </c>
    </row>
    <row r="117" spans="1:5" ht="12.75" hidden="1" customHeight="1" outlineLevel="1">
      <c r="A117" s="69" t="str">
        <f>"      "&amp;Labels!B88</f>
        <v xml:space="preserve">      Common</v>
      </c>
      <c r="B117" s="82">
        <f t="shared" si="7"/>
        <v>100000</v>
      </c>
      <c r="C117" s="82">
        <f t="shared" si="7"/>
        <v>100000</v>
      </c>
      <c r="D117" s="82">
        <f t="shared" si="7"/>
        <v>100000</v>
      </c>
      <c r="E117" s="62">
        <f t="shared" si="7"/>
        <v>300000</v>
      </c>
    </row>
    <row r="118" spans="1:5" ht="12.75" hidden="1" customHeight="1" outlineLevel="1">
      <c r="A118" s="69" t="str">
        <f>"      "&amp;Labels!B89</f>
        <v xml:space="preserve">      Warrant</v>
      </c>
      <c r="B118" s="82">
        <f t="shared" si="7"/>
        <v>0</v>
      </c>
      <c r="C118" s="82">
        <f t="shared" si="7"/>
        <v>0</v>
      </c>
      <c r="D118" s="82">
        <f t="shared" si="7"/>
        <v>0</v>
      </c>
      <c r="E118" s="62">
        <f t="shared" si="7"/>
        <v>0</v>
      </c>
    </row>
    <row r="119" spans="1:5" ht="12.75" hidden="1" customHeight="1" outlineLevel="1">
      <c r="A119" s="69" t="str">
        <f>"      "&amp;Labels!B90</f>
        <v xml:space="preserve">      Option</v>
      </c>
      <c r="B119" s="82"/>
      <c r="C119" s="82"/>
      <c r="D119" s="82"/>
      <c r="E119" s="62"/>
    </row>
    <row r="120" spans="1:5" ht="12.75" hidden="1" customHeight="1" outlineLevel="1">
      <c r="A120" s="69" t="str">
        <f>"         "&amp;Labels!B91</f>
        <v xml:space="preserve">         Series B</v>
      </c>
      <c r="B120" s="88">
        <f t="shared" ref="B120:E123" si="8">B39</f>
        <v>0</v>
      </c>
      <c r="C120" s="88">
        <f t="shared" si="8"/>
        <v>0</v>
      </c>
      <c r="D120" s="88">
        <f t="shared" si="8"/>
        <v>0</v>
      </c>
      <c r="E120" s="62">
        <f t="shared" si="8"/>
        <v>0</v>
      </c>
    </row>
    <row r="121" spans="1:5" ht="12.75" hidden="1" customHeight="1" outlineLevel="1">
      <c r="A121" s="69" t="str">
        <f>"         "&amp;Labels!B92</f>
        <v xml:space="preserve">         Series A</v>
      </c>
      <c r="B121" s="88">
        <f t="shared" si="8"/>
        <v>0</v>
      </c>
      <c r="C121" s="88">
        <f t="shared" si="8"/>
        <v>0</v>
      </c>
      <c r="D121" s="88">
        <f t="shared" si="8"/>
        <v>0</v>
      </c>
      <c r="E121" s="62">
        <f t="shared" si="8"/>
        <v>0</v>
      </c>
    </row>
    <row r="122" spans="1:5" ht="12.75" hidden="1" customHeight="1" outlineLevel="1">
      <c r="A122" s="69" t="str">
        <f>"         "&amp;Labels!C90</f>
        <v xml:space="preserve">         Subtotal</v>
      </c>
      <c r="B122" s="82">
        <f t="shared" si="8"/>
        <v>0</v>
      </c>
      <c r="C122" s="82">
        <f t="shared" si="8"/>
        <v>0</v>
      </c>
      <c r="D122" s="82">
        <f t="shared" si="8"/>
        <v>0</v>
      </c>
      <c r="E122" s="62">
        <f t="shared" si="8"/>
        <v>0</v>
      </c>
    </row>
    <row r="123" spans="1:5" ht="12.75" hidden="1" customHeight="1" outlineLevel="1">
      <c r="A123" s="15" t="str">
        <f>"      "&amp;Labels!C82</f>
        <v xml:space="preserve">      Total</v>
      </c>
      <c r="B123" s="89">
        <f t="shared" si="8"/>
        <v>100000</v>
      </c>
      <c r="C123" s="89">
        <f t="shared" si="8"/>
        <v>100000</v>
      </c>
      <c r="D123" s="89">
        <f t="shared" si="8"/>
        <v>100000</v>
      </c>
      <c r="E123" s="65">
        <f t="shared" si="8"/>
        <v>300000</v>
      </c>
    </row>
    <row r="124" spans="1:5" ht="12.75" hidden="1" customHeight="1" outlineLevel="1"/>
    <row r="125" spans="1:5" ht="12.75" hidden="1" customHeight="1" outlineLevel="1" collapsed="1"/>
    <row r="126" spans="1:5" ht="12.75" customHeight="1" collapsed="1"/>
  </sheetData>
  <mergeCells count="8">
    <mergeCell ref="A25:D25"/>
    <mergeCell ref="A45:C45"/>
    <mergeCell ref="A1:D1"/>
    <mergeCell ref="A2:D2"/>
    <mergeCell ref="A3:D3"/>
    <mergeCell ref="A4:D4"/>
    <mergeCell ref="A5:D5"/>
    <mergeCell ref="A9:C9"/>
  </mergeCells>
  <pageMargins left="0.75" right="0.75" top="1" bottom="1" header="0.5" footer="0.5"/>
  <pageSetup paperSize="9" orientation="landscape" horizontalDpi="0" verticalDpi="0" copies="0"/>
  <headerFooter alignWithMargins="0"/>
  <legacyDrawing r:id="rId1"/>
</worksheet>
</file>

<file path=xl/worksheets/sheet5.xml><?xml version="1.0" encoding="utf-8"?>
<worksheet xmlns="http://schemas.openxmlformats.org/spreadsheetml/2006/main" xmlns:r="http://schemas.openxmlformats.org/officeDocument/2006/relationships">
  <sheetPr>
    <outlinePr summaryBelow="0" summaryRight="0"/>
  </sheetPr>
  <dimension ref="A1:G117"/>
  <sheetViews>
    <sheetView workbookViewId="0">
      <selection sqref="A1:D1"/>
    </sheetView>
  </sheetViews>
  <sheetFormatPr defaultRowHeight="12.75" customHeight="1" outlineLevelRow="2"/>
  <cols>
    <col min="1" max="1" width="27" customWidth="1"/>
    <col min="2" max="4" width="9.5703125" customWidth="1"/>
    <col min="5" max="5" width="9.42578125" customWidth="1"/>
    <col min="6" max="7" width="10" customWidth="1"/>
  </cols>
  <sheetData>
    <row r="1" spans="1:5" ht="12.75" customHeight="1">
      <c r="A1" s="214" t="str">
        <f>"Capitalization Table"</f>
        <v>Capitalization Table</v>
      </c>
      <c r="B1" s="214"/>
      <c r="C1" s="214"/>
      <c r="D1" s="214"/>
    </row>
    <row r="2" spans="1:5" ht="12.75" customHeight="1">
      <c r="A2" s="214" t="str">
        <f>Inputs!B8</f>
        <v>ABC Corp.</v>
      </c>
      <c r="B2" s="214"/>
      <c r="C2" s="214"/>
      <c r="D2" s="214"/>
    </row>
    <row r="3" spans="1:5" ht="12.75" customHeight="1">
      <c r="A3" s="214" t="str">
        <f>IF("Conversion"="(Default Input)","Ignore this sheet in normal use.","Investment Scenario "&amp;1&amp;", Valuation Scenario "&amp;1)</f>
        <v>Investment Scenario 1, Valuation Scenario 1</v>
      </c>
      <c r="B3" s="214"/>
      <c r="C3" s="214"/>
      <c r="D3" s="214"/>
    </row>
    <row r="4" spans="1:5" ht="12.75" customHeight="1">
      <c r="A4" s="214" t="str">
        <f>"Conversion to Common Shares"</f>
        <v>Conversion to Common Shares</v>
      </c>
      <c r="B4" s="214"/>
      <c r="C4" s="214"/>
      <c r="D4" s="214"/>
    </row>
    <row r="5" spans="1:5" ht="12.75" customHeight="1">
      <c r="A5" s="214" t="str">
        <f>""</f>
        <v/>
      </c>
      <c r="B5" s="214"/>
      <c r="C5" s="214"/>
      <c r="D5" s="214"/>
    </row>
    <row r="6" spans="1:5" ht="12.75" customHeight="1">
      <c r="B6" s="6" t="str">
        <f>Labels!B78</f>
        <v>Seed</v>
      </c>
      <c r="C6" s="7" t="str">
        <f>Labels!B79</f>
        <v>Round A</v>
      </c>
      <c r="D6" s="8" t="str">
        <f>Labels!B80</f>
        <v>Exit</v>
      </c>
    </row>
    <row r="7" spans="1:5" ht="12.75" customHeight="1">
      <c r="A7" s="4" t="str">
        <f>Labels!B19</f>
        <v>Event Date</v>
      </c>
      <c r="B7" s="76">
        <f>Investment!B209</f>
        <v>40391</v>
      </c>
      <c r="C7" s="76">
        <f>Investment!C209</f>
        <v>40725</v>
      </c>
      <c r="D7" s="77">
        <f>Investment!D209</f>
        <v>41061</v>
      </c>
    </row>
    <row r="9" spans="1:5" ht="12.75" customHeight="1">
      <c r="A9" s="215" t="str">
        <f>"Units Converted to Common Stock"</f>
        <v>Units Converted to Common Stock</v>
      </c>
      <c r="B9" s="215"/>
      <c r="C9" s="215"/>
      <c r="D9" s="215"/>
      <c r="E9" s="215"/>
    </row>
    <row r="10" spans="1:5" ht="12.75" customHeight="1">
      <c r="A10" s="11" t="str">
        <f>Labels!B58</f>
        <v>Net Units</v>
      </c>
      <c r="B10" s="78"/>
      <c r="C10" s="78"/>
      <c r="D10" s="78"/>
      <c r="E10" s="87"/>
    </row>
    <row r="11" spans="1:5" ht="12.75" customHeight="1">
      <c r="A11" s="13" t="str">
        <f>"   "&amp;Labels!B83</f>
        <v xml:space="preserve">   Conv Note</v>
      </c>
      <c r="B11" s="80"/>
      <c r="C11" s="80"/>
      <c r="D11" s="80"/>
      <c r="E11" s="62"/>
    </row>
    <row r="12" spans="1:5" ht="12.75" customHeight="1">
      <c r="A12" s="69" t="str">
        <f>"      "&amp;Labels!B84</f>
        <v xml:space="preserve">      Series B</v>
      </c>
      <c r="B12" s="82">
        <f>Shares!B96</f>
        <v>0</v>
      </c>
      <c r="C12" s="82">
        <f>Shares!C96</f>
        <v>0</v>
      </c>
      <c r="D12" s="82">
        <f>Shares!D96</f>
        <v>0</v>
      </c>
      <c r="E12" s="62">
        <f>Shares!E96</f>
        <v>0</v>
      </c>
    </row>
    <row r="13" spans="1:5" ht="12.75" customHeight="1">
      <c r="A13" s="69" t="str">
        <f>"      "&amp;Labels!B85</f>
        <v xml:space="preserve">      Series A</v>
      </c>
      <c r="B13" s="82">
        <f>Shares!B97</f>
        <v>0</v>
      </c>
      <c r="C13" s="82">
        <f>Shares!C97</f>
        <v>0</v>
      </c>
      <c r="D13" s="82">
        <f>Shares!D97</f>
        <v>0</v>
      </c>
      <c r="E13" s="62">
        <f>Shares!E97</f>
        <v>0</v>
      </c>
    </row>
    <row r="14" spans="1:5" ht="12.75" customHeight="1">
      <c r="A14" s="13" t="str">
        <f>"      "&amp;Labels!C83</f>
        <v xml:space="preserve">      Subtotal</v>
      </c>
      <c r="B14" s="80">
        <f>Shares!B98</f>
        <v>0</v>
      </c>
      <c r="C14" s="80">
        <f>Shares!C98</f>
        <v>0</v>
      </c>
      <c r="D14" s="80">
        <f>Shares!D98</f>
        <v>0</v>
      </c>
      <c r="E14" s="62">
        <f>Shares!E98</f>
        <v>0</v>
      </c>
    </row>
    <row r="15" spans="1:5" ht="12.75" customHeight="1">
      <c r="A15" s="13" t="str">
        <f>"   "&amp;Labels!B86</f>
        <v xml:space="preserve">   Preferred</v>
      </c>
      <c r="B15" s="80"/>
      <c r="C15" s="80"/>
      <c r="D15" s="80"/>
      <c r="E15" s="62"/>
    </row>
    <row r="16" spans="1:5" ht="12.75" customHeight="1">
      <c r="A16" s="69" t="str">
        <f>"      "&amp;Labels!B87</f>
        <v xml:space="preserve">      Series A</v>
      </c>
      <c r="B16" s="82">
        <f>Shares!B100</f>
        <v>0</v>
      </c>
      <c r="C16" s="82">
        <f>Shares!C100</f>
        <v>0</v>
      </c>
      <c r="D16" s="82">
        <f>Shares!D100</f>
        <v>0</v>
      </c>
      <c r="E16" s="62">
        <f>Shares!E100</f>
        <v>0</v>
      </c>
    </row>
    <row r="17" spans="1:5" ht="12.75" customHeight="1">
      <c r="A17" s="13" t="str">
        <f>"      "&amp;Labels!C86</f>
        <v xml:space="preserve">      Subtotal</v>
      </c>
      <c r="B17" s="80">
        <f>Shares!B101</f>
        <v>0</v>
      </c>
      <c r="C17" s="80">
        <f>Shares!C101</f>
        <v>0</v>
      </c>
      <c r="D17" s="80">
        <f>Shares!D101</f>
        <v>0</v>
      </c>
      <c r="E17" s="62">
        <f>Shares!E101</f>
        <v>0</v>
      </c>
    </row>
    <row r="18" spans="1:5" ht="12.75" customHeight="1">
      <c r="A18" s="13" t="str">
        <f>"   "&amp;Labels!B88</f>
        <v xml:space="preserve">   Common</v>
      </c>
      <c r="B18" s="80">
        <f>Shares!B102</f>
        <v>0</v>
      </c>
      <c r="C18" s="80">
        <f>Shares!C102</f>
        <v>0</v>
      </c>
      <c r="D18" s="80">
        <f>Shares!D102</f>
        <v>0</v>
      </c>
      <c r="E18" s="62">
        <f>Shares!E102</f>
        <v>0</v>
      </c>
    </row>
    <row r="19" spans="1:5" ht="12.75" customHeight="1">
      <c r="A19" s="13" t="str">
        <f>"   "&amp;Labels!B89</f>
        <v xml:space="preserve">   Warrant</v>
      </c>
      <c r="B19" s="80">
        <f>Shares!B103</f>
        <v>0</v>
      </c>
      <c r="C19" s="80">
        <f>Shares!C103</f>
        <v>0</v>
      </c>
      <c r="D19" s="80">
        <f>Shares!D103</f>
        <v>0</v>
      </c>
      <c r="E19" s="62">
        <f>Shares!E103</f>
        <v>0</v>
      </c>
    </row>
    <row r="20" spans="1:5" ht="12.75" customHeight="1">
      <c r="A20" s="13" t="str">
        <f>"   "&amp;Labels!B90</f>
        <v xml:space="preserve">   Option</v>
      </c>
      <c r="B20" s="80"/>
      <c r="C20" s="80"/>
      <c r="D20" s="80"/>
      <c r="E20" s="62"/>
    </row>
    <row r="21" spans="1:5" ht="12.75" customHeight="1">
      <c r="A21" s="69" t="str">
        <f>"      "&amp;Labels!B91</f>
        <v xml:space="preserve">      Series B</v>
      </c>
      <c r="B21" s="82">
        <f>Shares!B105</f>
        <v>0</v>
      </c>
      <c r="C21" s="82">
        <f>Shares!C105</f>
        <v>0</v>
      </c>
      <c r="D21" s="82">
        <f>Shares!D105</f>
        <v>0</v>
      </c>
      <c r="E21" s="62">
        <f>Shares!E105</f>
        <v>0</v>
      </c>
    </row>
    <row r="22" spans="1:5" ht="12.75" customHeight="1">
      <c r="A22" s="69" t="str">
        <f>"      "&amp;Labels!B92</f>
        <v xml:space="preserve">      Series A</v>
      </c>
      <c r="B22" s="82">
        <f>Shares!B106</f>
        <v>0</v>
      </c>
      <c r="C22" s="82">
        <f>Shares!C106</f>
        <v>0</v>
      </c>
      <c r="D22" s="82">
        <f>Shares!D106</f>
        <v>0</v>
      </c>
      <c r="E22" s="62">
        <f>Shares!E106</f>
        <v>0</v>
      </c>
    </row>
    <row r="23" spans="1:5" ht="12.75" customHeight="1">
      <c r="A23" s="13" t="str">
        <f>"      "&amp;Labels!C90</f>
        <v xml:space="preserve">      Subtotal</v>
      </c>
      <c r="B23" s="80">
        <f>Shares!B107</f>
        <v>0</v>
      </c>
      <c r="C23" s="80">
        <f>Shares!C107</f>
        <v>0</v>
      </c>
      <c r="D23" s="80">
        <f>Shares!D107</f>
        <v>0</v>
      </c>
      <c r="E23" s="62">
        <f>Shares!E107</f>
        <v>0</v>
      </c>
    </row>
    <row r="24" spans="1:5" ht="12.75" customHeight="1">
      <c r="A24" s="21" t="str">
        <f>"   "&amp;Labels!C82</f>
        <v xml:space="preserve">   Total</v>
      </c>
      <c r="B24" s="64">
        <f>Shares!B108</f>
        <v>0</v>
      </c>
      <c r="C24" s="64">
        <f>Shares!C108</f>
        <v>0</v>
      </c>
      <c r="D24" s="64">
        <f>Shares!D108</f>
        <v>0</v>
      </c>
      <c r="E24" s="65">
        <f>Shares!E108</f>
        <v>0</v>
      </c>
    </row>
    <row r="26" spans="1:5" ht="12.75" customHeight="1">
      <c r="A26" s="11" t="str">
        <f>Labels!B12</f>
        <v>% Converting</v>
      </c>
      <c r="B26" s="90"/>
      <c r="C26" s="90"/>
      <c r="D26" s="91"/>
    </row>
    <row r="27" spans="1:5" ht="12.75" customHeight="1">
      <c r="A27" s="13" t="str">
        <f>"   "&amp;Labels!B83</f>
        <v xml:space="preserve">   Conv Note</v>
      </c>
      <c r="B27" s="92"/>
      <c r="C27" s="92"/>
      <c r="D27" s="93"/>
    </row>
    <row r="28" spans="1:5" ht="12.75" customHeight="1">
      <c r="A28" s="69" t="str">
        <f>"      "&amp;Labels!B84</f>
        <v xml:space="preserve">      Series B</v>
      </c>
      <c r="B28" s="94">
        <f t="shared" ref="B28:D29" si="0">B44</f>
        <v>0</v>
      </c>
      <c r="C28" s="94">
        <f t="shared" si="0"/>
        <v>0</v>
      </c>
      <c r="D28" s="95">
        <f t="shared" si="0"/>
        <v>0</v>
      </c>
    </row>
    <row r="29" spans="1:5" ht="12.75" customHeight="1">
      <c r="A29" s="69" t="str">
        <f>"      "&amp;Labels!B85</f>
        <v xml:space="preserve">      Series A</v>
      </c>
      <c r="B29" s="94">
        <f t="shared" si="0"/>
        <v>0</v>
      </c>
      <c r="C29" s="94">
        <f t="shared" si="0"/>
        <v>0</v>
      </c>
      <c r="D29" s="95">
        <f t="shared" si="0"/>
        <v>0</v>
      </c>
    </row>
    <row r="30" spans="1:5" ht="12.75" customHeight="1">
      <c r="A30" s="13" t="str">
        <f>"   "&amp;Labels!B86</f>
        <v xml:space="preserve">   Preferred</v>
      </c>
      <c r="B30" s="92"/>
      <c r="C30" s="92"/>
      <c r="D30" s="93"/>
    </row>
    <row r="31" spans="1:5" ht="12.75" customHeight="1">
      <c r="A31" s="69" t="str">
        <f>"      "&amp;Labels!B87</f>
        <v xml:space="preserve">      Series A</v>
      </c>
      <c r="B31" s="94">
        <f t="shared" ref="B31:D33" si="1">B47</f>
        <v>0</v>
      </c>
      <c r="C31" s="94">
        <f t="shared" si="1"/>
        <v>0</v>
      </c>
      <c r="D31" s="95">
        <f t="shared" si="1"/>
        <v>0</v>
      </c>
    </row>
    <row r="32" spans="1:5" ht="12.75" customHeight="1">
      <c r="A32" s="13" t="str">
        <f>"   "&amp;Labels!B88</f>
        <v xml:space="preserve">   Common</v>
      </c>
      <c r="B32" s="96">
        <f t="shared" si="1"/>
        <v>0</v>
      </c>
      <c r="C32" s="96">
        <f t="shared" si="1"/>
        <v>0</v>
      </c>
      <c r="D32" s="97">
        <f t="shared" si="1"/>
        <v>0</v>
      </c>
    </row>
    <row r="33" spans="1:7" ht="12.75" customHeight="1">
      <c r="A33" s="13" t="str">
        <f>"   "&amp;Labels!B89</f>
        <v xml:space="preserve">   Warrant</v>
      </c>
      <c r="B33" s="96">
        <f t="shared" si="1"/>
        <v>0</v>
      </c>
      <c r="C33" s="96">
        <f t="shared" si="1"/>
        <v>0</v>
      </c>
      <c r="D33" s="97">
        <f t="shared" si="1"/>
        <v>0</v>
      </c>
    </row>
    <row r="34" spans="1:7" ht="12.75" customHeight="1">
      <c r="A34" s="13" t="str">
        <f>"   "&amp;Labels!B90</f>
        <v xml:space="preserve">   Option</v>
      </c>
      <c r="B34" s="92"/>
      <c r="C34" s="92"/>
      <c r="D34" s="93"/>
    </row>
    <row r="35" spans="1:7" ht="12.75" customHeight="1">
      <c r="A35" s="69" t="str">
        <f>"      "&amp;Labels!B91</f>
        <v xml:space="preserve">      Series B</v>
      </c>
      <c r="B35" s="94">
        <f t="shared" ref="B35:D36" si="2">B51</f>
        <v>0</v>
      </c>
      <c r="C35" s="94">
        <f t="shared" si="2"/>
        <v>0</v>
      </c>
      <c r="D35" s="95">
        <f t="shared" si="2"/>
        <v>0</v>
      </c>
    </row>
    <row r="36" spans="1:7" ht="12.75" customHeight="1">
      <c r="A36" s="84" t="str">
        <f>"      "&amp;Labels!B92</f>
        <v xml:space="preserve">      Series A</v>
      </c>
      <c r="B36" s="98">
        <f t="shared" si="2"/>
        <v>0</v>
      </c>
      <c r="C36" s="98">
        <f t="shared" si="2"/>
        <v>0</v>
      </c>
      <c r="D36" s="99">
        <f t="shared" si="2"/>
        <v>0</v>
      </c>
    </row>
    <row r="37" spans="1:7" ht="12.75" customHeight="1">
      <c r="A37" s="213" t="str">
        <f>"Note: You can override the model's default conversion decisions by entering numerical values."</f>
        <v>Note: You can override the model's default conversion decisions by entering numerical values.</v>
      </c>
      <c r="B37" s="213"/>
      <c r="C37" s="213"/>
      <c r="D37" s="213"/>
      <c r="E37" s="213"/>
      <c r="F37" s="213"/>
      <c r="G37" s="213"/>
    </row>
    <row r="39" spans="1:7" ht="12.75" customHeight="1" collapsed="1">
      <c r="A39" s="215" t="str">
        <f>"Default Conversion Decisions"</f>
        <v>Default Conversion Decisions</v>
      </c>
      <c r="B39" s="215"/>
    </row>
    <row r="40" spans="1:7" ht="12.75" hidden="1" customHeight="1" outlineLevel="1">
      <c r="A40" s="1" t="str">
        <f>" "</f>
        <v xml:space="preserve"> </v>
      </c>
    </row>
    <row r="41" spans="1:7" ht="12.75" hidden="1" customHeight="1" outlineLevel="1">
      <c r="B41" s="6" t="str">
        <f>Labels!B78</f>
        <v>Seed</v>
      </c>
      <c r="C41" s="7" t="str">
        <f>Labels!B79</f>
        <v>Round A</v>
      </c>
      <c r="D41" s="8" t="str">
        <f>Labels!B80</f>
        <v>Exit</v>
      </c>
    </row>
    <row r="42" spans="1:7" ht="12.75" hidden="1" customHeight="1" outlineLevel="1">
      <c r="A42" s="11" t="str">
        <f>Labels!B6</f>
        <v>Default Conversion Decisions</v>
      </c>
      <c r="B42" s="100"/>
      <c r="C42" s="100"/>
      <c r="D42" s="101"/>
    </row>
    <row r="43" spans="1:7" ht="12.75" hidden="1" customHeight="1" outlineLevel="1">
      <c r="A43" s="13" t="str">
        <f>"   "&amp;Labels!B83</f>
        <v xml:space="preserve">   Conv Note</v>
      </c>
      <c r="B43" s="102"/>
      <c r="C43" s="102"/>
      <c r="D43" s="103"/>
    </row>
    <row r="44" spans="1:7" ht="12.75" hidden="1" customHeight="1" outlineLevel="1">
      <c r="A44" s="69" t="str">
        <f>"      "&amp;Labels!B84</f>
        <v xml:space="preserve">      Series B</v>
      </c>
      <c r="B44" s="104">
        <f>ABS(PRODUCT(B61:B65))</f>
        <v>0</v>
      </c>
      <c r="C44" s="104">
        <f>ABS(PRODUCT(C61:C65))</f>
        <v>0</v>
      </c>
      <c r="D44" s="105">
        <f>ABS(PRODUCT(D61:D65))</f>
        <v>0</v>
      </c>
    </row>
    <row r="45" spans="1:7" ht="12.75" hidden="1" customHeight="1" outlineLevel="1">
      <c r="A45" s="69" t="str">
        <f>"      "&amp;Labels!B85</f>
        <v xml:space="preserve">      Series A</v>
      </c>
      <c r="B45" s="104">
        <f>ABS(PRODUCT(B67:B71))</f>
        <v>0</v>
      </c>
      <c r="C45" s="104">
        <f>ABS(PRODUCT(C67:C71))</f>
        <v>0</v>
      </c>
      <c r="D45" s="105">
        <f>ABS(PRODUCT(D67:D71))</f>
        <v>0</v>
      </c>
    </row>
    <row r="46" spans="1:7" ht="12.75" hidden="1" customHeight="1" outlineLevel="1">
      <c r="A46" s="13" t="str">
        <f>"   "&amp;Labels!B86</f>
        <v xml:space="preserve">   Preferred</v>
      </c>
      <c r="B46" s="102"/>
      <c r="C46" s="102"/>
      <c r="D46" s="103"/>
    </row>
    <row r="47" spans="1:7" ht="12.75" hidden="1" customHeight="1" outlineLevel="1">
      <c r="A47" s="69" t="str">
        <f>"      "&amp;Labels!B87</f>
        <v xml:space="preserve">      Series A</v>
      </c>
      <c r="B47" s="104">
        <f>ABS(PRODUCT(B74:B78))</f>
        <v>0</v>
      </c>
      <c r="C47" s="104">
        <f>ABS(PRODUCT(C74:C78))</f>
        <v>0</v>
      </c>
      <c r="D47" s="105">
        <f>ABS(PRODUCT(D74:D78))</f>
        <v>0</v>
      </c>
    </row>
    <row r="48" spans="1:7" ht="12.75" hidden="1" customHeight="1" outlineLevel="1">
      <c r="A48" s="13" t="str">
        <f>"   "&amp;Labels!B88</f>
        <v xml:space="preserve">   Common</v>
      </c>
      <c r="B48" s="102">
        <f>0</f>
        <v>0</v>
      </c>
      <c r="C48" s="102">
        <f>0</f>
        <v>0</v>
      </c>
      <c r="D48" s="103">
        <f>0</f>
        <v>0</v>
      </c>
    </row>
    <row r="49" spans="1:4" ht="12.75" hidden="1" customHeight="1" outlineLevel="1">
      <c r="A49" s="13" t="str">
        <f>"   "&amp;Labels!B89</f>
        <v xml:space="preserve">   Warrant</v>
      </c>
      <c r="B49" s="102">
        <f>ABS(PRODUCT(B86:B90))</f>
        <v>0</v>
      </c>
      <c r="C49" s="102">
        <f>ABS(PRODUCT(C86:C90))</f>
        <v>0</v>
      </c>
      <c r="D49" s="103">
        <f>ABS(PRODUCT(D86:D90))</f>
        <v>0</v>
      </c>
    </row>
    <row r="50" spans="1:4" ht="12.75" hidden="1" customHeight="1" outlineLevel="1">
      <c r="A50" s="13" t="str">
        <f>"   "&amp;Labels!B90</f>
        <v xml:space="preserve">   Option</v>
      </c>
      <c r="B50" s="102"/>
      <c r="C50" s="102"/>
      <c r="D50" s="103"/>
    </row>
    <row r="51" spans="1:4" ht="12.75" hidden="1" customHeight="1" outlineLevel="1">
      <c r="A51" s="69" t="str">
        <f>"      "&amp;Labels!B91</f>
        <v xml:space="preserve">      Series B</v>
      </c>
      <c r="B51" s="104">
        <f>ABS(PRODUCT(B93:B97))</f>
        <v>0</v>
      </c>
      <c r="C51" s="104">
        <f>ABS(PRODUCT(C93:C97))</f>
        <v>0</v>
      </c>
      <c r="D51" s="105">
        <f>ABS(PRODUCT(D93:D97))</f>
        <v>0</v>
      </c>
    </row>
    <row r="52" spans="1:4" ht="12.75" hidden="1" customHeight="1" outlineLevel="1">
      <c r="A52" s="84" t="str">
        <f>"      "&amp;Labels!B92</f>
        <v xml:space="preserve">      Series A</v>
      </c>
      <c r="B52" s="106">
        <f>ABS(PRODUCT(B99:B103))</f>
        <v>0</v>
      </c>
      <c r="C52" s="106">
        <f>ABS(PRODUCT(C99:C103))</f>
        <v>0</v>
      </c>
      <c r="D52" s="107">
        <f>ABS(PRODUCT(D99:D103))</f>
        <v>0</v>
      </c>
    </row>
    <row r="53" spans="1:4" ht="12.75" hidden="1" customHeight="1" outlineLevel="1">
      <c r="A53" s="213" t="str">
        <f>"Key: 1 means convert, 0 means don't convert"</f>
        <v>Key: 1 means convert, 0 means don't convert</v>
      </c>
      <c r="B53" s="213"/>
      <c r="C53" s="213"/>
    </row>
    <row r="54" spans="1:4" ht="12.75" hidden="1" customHeight="1" outlineLevel="1"/>
    <row r="55" spans="1:4" ht="12.75" hidden="1" customHeight="1" outlineLevel="1" collapsed="1">
      <c r="A55" s="3" t="str">
        <f>"Decision Details"</f>
        <v>Decision Details</v>
      </c>
    </row>
    <row r="56" spans="1:4" ht="12.75" hidden="1" customHeight="1" outlineLevel="2">
      <c r="A56" s="3" t="str">
        <f>" "</f>
        <v xml:space="preserve"> </v>
      </c>
    </row>
    <row r="57" spans="1:4" ht="12.75" hidden="1" customHeight="1" outlineLevel="2">
      <c r="B57" s="6" t="str">
        <f>Labels!B78</f>
        <v>Seed</v>
      </c>
      <c r="C57" s="7" t="str">
        <f>Labels!B79</f>
        <v>Round A</v>
      </c>
      <c r="D57" s="8" t="str">
        <f>Labels!B80</f>
        <v>Exit</v>
      </c>
    </row>
    <row r="58" spans="1:4" ht="12.75" hidden="1" customHeight="1" outlineLevel="2">
      <c r="A58" s="11" t="str">
        <f>Labels!B7</f>
        <v>Conversion Decisions Detail</v>
      </c>
      <c r="B58" s="100"/>
      <c r="C58" s="100"/>
      <c r="D58" s="101"/>
    </row>
    <row r="59" spans="1:4" ht="12.75" hidden="1" customHeight="1" outlineLevel="2">
      <c r="A59" s="13" t="str">
        <f>"   "&amp;Labels!B83</f>
        <v xml:space="preserve">   Conv Note</v>
      </c>
      <c r="B59" s="102"/>
      <c r="C59" s="102"/>
      <c r="D59" s="103"/>
    </row>
    <row r="60" spans="1:4" ht="12.75" hidden="1" customHeight="1" outlineLevel="2">
      <c r="A60" s="69" t="str">
        <f>"      "&amp;Labels!B84</f>
        <v xml:space="preserve">      Series B</v>
      </c>
      <c r="B60" s="104"/>
      <c r="C60" s="104"/>
      <c r="D60" s="105"/>
    </row>
    <row r="61" spans="1:4" ht="12.75" hidden="1" customHeight="1" outlineLevel="2">
      <c r="A61" s="69" t="str">
        <f>"         "&amp;Labels!B64</f>
        <v xml:space="preserve">         Trigger Date</v>
      </c>
      <c r="B61" s="108">
        <f>IF(Investment!B209&gt;=Inputs!B47,1,0)</f>
        <v>0</v>
      </c>
      <c r="C61" s="108">
        <f>IF(Investment!C209&gt;=Inputs!B47,1,0)</f>
        <v>1</v>
      </c>
      <c r="D61" s="109">
        <f>IF(Investment!D209&gt;=Inputs!B47,1,0)</f>
        <v>1</v>
      </c>
    </row>
    <row r="62" spans="1:4" ht="12.75" hidden="1" customHeight="1" outlineLevel="2">
      <c r="A62" s="69" t="str">
        <f>"         "&amp;Labels!B65</f>
        <v xml:space="preserve">         Trigger Invest</v>
      </c>
      <c r="B62" s="108">
        <f>IF(Investment!B89+Investment!B88+Investment!B85&gt;=Inputs!B51,1,0)</f>
        <v>0</v>
      </c>
      <c r="C62" s="108">
        <f>IF(Investment!C89+Investment!C88+Investment!C85&gt;=Inputs!B51,1,0)</f>
        <v>0</v>
      </c>
      <c r="D62" s="109">
        <f>IF(Investment!D89+Investment!D88+Investment!D85&gt;=Inputs!B51,1,0)</f>
        <v>0</v>
      </c>
    </row>
    <row r="63" spans="1:4" ht="12.75" hidden="1" customHeight="1" outlineLevel="2">
      <c r="A63" s="69" t="str">
        <f>"         "&amp;Labels!B66</f>
        <v xml:space="preserve">         Trigger Value %</v>
      </c>
      <c r="B63" s="108">
        <f>IF(Inputs!E47*'(Other Computations)'!B192&gt;Investment!B85,1,0)</f>
        <v>1</v>
      </c>
      <c r="C63" s="108">
        <f>IF(Inputs!E47*'(Other Computations)'!C192&gt;Investment!C85,1,0)</f>
        <v>1</v>
      </c>
      <c r="D63" s="109">
        <f>IF(Inputs!E47*'(Other Computations)'!D192&gt;Investment!D85,1,0)</f>
        <v>1</v>
      </c>
    </row>
    <row r="64" spans="1:4" ht="12.75" hidden="1" customHeight="1" outlineLevel="2">
      <c r="A64" s="69" t="str">
        <f>"         "&amp;Labels!B67</f>
        <v xml:space="preserve">         Liquidation</v>
      </c>
      <c r="B64" s="108">
        <f>IF((0+Investment!B290+'(Other Computations)'!B220)/(1-Inputs!B38)&gt;(1+Inputs!E51)*(0+'(Other Computations)'!B220*Inputs!E38),1,0)</f>
        <v>0</v>
      </c>
      <c r="C64" s="108">
        <f>IF((Investment!B274+Investment!C290+'(Other Computations)'!C220)/(1-Inputs!B38)&gt;(1+Inputs!E51)*(Payout!G9+'(Other Computations)'!C220*Inputs!E38),1,0)</f>
        <v>0</v>
      </c>
      <c r="D64" s="109">
        <f>IF((Investment!C274+Investment!D290+'(Other Computations)'!D220)/(1-Inputs!B38)&gt;(1+Inputs!E51)*(Payout!H9+'(Other Computations)'!D220*Inputs!E38),1,0)</f>
        <v>0</v>
      </c>
    </row>
    <row r="65" spans="1:4" ht="12.75" hidden="1" customHeight="1" outlineLevel="2">
      <c r="A65" s="69" t="str">
        <f>"         "&amp;Labels!B68</f>
        <v xml:space="preserve">         Trigger Price</v>
      </c>
      <c r="B65" s="108">
        <f>-1</f>
        <v>-1</v>
      </c>
      <c r="C65" s="108">
        <f>-1</f>
        <v>-1</v>
      </c>
      <c r="D65" s="109">
        <f>-1</f>
        <v>-1</v>
      </c>
    </row>
    <row r="66" spans="1:4" ht="12.75" hidden="1" customHeight="1" outlineLevel="2">
      <c r="A66" s="69" t="str">
        <f>"      "&amp;Labels!B85</f>
        <v xml:space="preserve">      Series A</v>
      </c>
      <c r="B66" s="104"/>
      <c r="C66" s="104"/>
      <c r="D66" s="105"/>
    </row>
    <row r="67" spans="1:4" ht="12.75" hidden="1" customHeight="1" outlineLevel="2">
      <c r="A67" s="69" t="str">
        <f>"         "&amp;Labels!B64</f>
        <v xml:space="preserve">         Trigger Date</v>
      </c>
      <c r="B67" s="108">
        <f>IF(Investment!B209&gt;=Inputs!B48,1,0)</f>
        <v>0</v>
      </c>
      <c r="C67" s="108">
        <f>IF(Investment!C209&gt;=Inputs!B48,1,0)</f>
        <v>1</v>
      </c>
      <c r="D67" s="109">
        <f>IF(Investment!D209&gt;=Inputs!B48,1,0)</f>
        <v>1</v>
      </c>
    </row>
    <row r="68" spans="1:4" ht="12.75" hidden="1" customHeight="1" outlineLevel="2">
      <c r="A68" s="69" t="str">
        <f>"         "&amp;Labels!B65</f>
        <v xml:space="preserve">         Trigger Invest</v>
      </c>
      <c r="B68" s="108">
        <f>IF(Investment!B89+Investment!B88+Investment!B85&gt;=Inputs!B52,1,0)</f>
        <v>0</v>
      </c>
      <c r="C68" s="108">
        <f>IF(Investment!C89+Investment!C88+Investment!C85&gt;=Inputs!B52,1,0)</f>
        <v>0</v>
      </c>
      <c r="D68" s="109">
        <f>IF(Investment!D89+Investment!D88+Investment!D85&gt;=Inputs!B52,1,0)</f>
        <v>0</v>
      </c>
    </row>
    <row r="69" spans="1:4" ht="12.75" hidden="1" customHeight="1" outlineLevel="2">
      <c r="A69" s="69" t="str">
        <f>"         "&amp;Labels!B66</f>
        <v xml:space="preserve">         Trigger Value %</v>
      </c>
      <c r="B69" s="108">
        <f>IF(Inputs!E48*'(Other Computations)'!B192&gt;Investment!B85,1,0)</f>
        <v>1</v>
      </c>
      <c r="C69" s="108">
        <f>IF(Inputs!E48*'(Other Computations)'!C192&gt;Investment!C85,1,0)</f>
        <v>1</v>
      </c>
      <c r="D69" s="109">
        <f>IF(Inputs!E48*'(Other Computations)'!D192&gt;Investment!D85,1,0)</f>
        <v>1</v>
      </c>
    </row>
    <row r="70" spans="1:4" ht="12.75" hidden="1" customHeight="1" outlineLevel="2">
      <c r="A70" s="69" t="str">
        <f>"         "&amp;Labels!B67</f>
        <v xml:space="preserve">         Liquidation</v>
      </c>
      <c r="B70" s="108">
        <f>IF((0+Investment!B291+'(Other Computations)'!B221)/(1-Inputs!B39)&gt;(1+Inputs!E52)*(0+'(Other Computations)'!B221*Inputs!E39),1,0)</f>
        <v>0</v>
      </c>
      <c r="C70" s="108">
        <f>IF((Investment!B275+Investment!C291+'(Other Computations)'!C221)/(1-Inputs!B39)&gt;(1+Inputs!E52)*(Payout!G10+'(Other Computations)'!C221*Inputs!E39),1,0)</f>
        <v>0</v>
      </c>
      <c r="D70" s="109">
        <f>IF((Investment!C275+Investment!D291+'(Other Computations)'!D221)/(1-Inputs!B39)&gt;(1+Inputs!E52)*(Payout!H10+'(Other Computations)'!D221*Inputs!E39),1,0)</f>
        <v>0</v>
      </c>
    </row>
    <row r="71" spans="1:4" ht="12.75" hidden="1" customHeight="1" outlineLevel="2">
      <c r="A71" s="69" t="str">
        <f>"         "&amp;Labels!B68</f>
        <v xml:space="preserve">         Trigger Price</v>
      </c>
      <c r="B71" s="108">
        <f>-1</f>
        <v>-1</v>
      </c>
      <c r="C71" s="108">
        <f>-1</f>
        <v>-1</v>
      </c>
      <c r="D71" s="109">
        <f>-1</f>
        <v>-1</v>
      </c>
    </row>
    <row r="72" spans="1:4" ht="12.75" hidden="1" customHeight="1" outlineLevel="2">
      <c r="A72" s="13" t="str">
        <f>"   "&amp;Labels!B86</f>
        <v xml:space="preserve">   Preferred</v>
      </c>
      <c r="B72" s="102"/>
      <c r="C72" s="102"/>
      <c r="D72" s="103"/>
    </row>
    <row r="73" spans="1:4" ht="12.75" hidden="1" customHeight="1" outlineLevel="2">
      <c r="A73" s="69" t="str">
        <f>"      "&amp;Labels!B87</f>
        <v xml:space="preserve">      Series A</v>
      </c>
      <c r="B73" s="104"/>
      <c r="C73" s="104"/>
      <c r="D73" s="105"/>
    </row>
    <row r="74" spans="1:4" ht="12.75" hidden="1" customHeight="1" outlineLevel="2">
      <c r="A74" s="69" t="str">
        <f>"         "&amp;Labels!B64</f>
        <v xml:space="preserve">         Trigger Date</v>
      </c>
      <c r="B74" s="108">
        <f>IF(Investment!B209&gt;=Inputs!B79,1,0)</f>
        <v>0</v>
      </c>
      <c r="C74" s="108">
        <f>IF(Investment!C209&gt;=Inputs!B79,1,0)</f>
        <v>1</v>
      </c>
      <c r="D74" s="109">
        <f>IF(Investment!D209&gt;=Inputs!B79,1,0)</f>
        <v>1</v>
      </c>
    </row>
    <row r="75" spans="1:4" ht="12.75" hidden="1" customHeight="1" outlineLevel="2">
      <c r="A75" s="69" t="str">
        <f>"         "&amp;Labels!B65</f>
        <v xml:space="preserve">         Trigger Invest</v>
      </c>
      <c r="B75" s="108">
        <f>IF(Investment!B89+Investment!B88+Investment!B85&gt;=Inputs!B82,1,0)</f>
        <v>0</v>
      </c>
      <c r="C75" s="108">
        <f>IF(Investment!C89+Investment!C88+Investment!C85&gt;=Inputs!B82,1,0)</f>
        <v>0</v>
      </c>
      <c r="D75" s="109">
        <f>IF(Investment!D89+Investment!D88+Investment!D85&gt;=Inputs!B82,1,0)</f>
        <v>0</v>
      </c>
    </row>
    <row r="76" spans="1:4" ht="12.75" hidden="1" customHeight="1" outlineLevel="2">
      <c r="A76" s="69" t="str">
        <f>"         "&amp;Labels!B66</f>
        <v xml:space="preserve">         Trigger Value %</v>
      </c>
      <c r="B76" s="108">
        <f>IF(Inputs!E79*'(Other Computations)'!B192&gt;Investment!B85,1,0)</f>
        <v>1</v>
      </c>
      <c r="C76" s="108">
        <f>IF(Inputs!E79*'(Other Computations)'!C192&gt;Investment!C85,1,0)</f>
        <v>1</v>
      </c>
      <c r="D76" s="109">
        <f>IF(Inputs!E79*'(Other Computations)'!D192&gt;Investment!D85,1,0)</f>
        <v>1</v>
      </c>
    </row>
    <row r="77" spans="1:4" ht="12.75" hidden="1" customHeight="1" outlineLevel="2">
      <c r="A77" s="69" t="str">
        <f>"         "&amp;Labels!B67</f>
        <v xml:space="preserve">         Liquidation</v>
      </c>
      <c r="B77" s="108">
        <f>IF((0+Investment!B294+'(Other Computations)'!B224)/(1+Inputs!B68)&gt;(1+Inputs!E82)*0+'(Other Computations)'!B224*Inputs!B75,1,0)</f>
        <v>0</v>
      </c>
      <c r="C77" s="108">
        <f>IF((Investment!B278+Investment!C294+'(Other Computations)'!C224)/(1+Inputs!C68)&gt;(1+Inputs!E82)*Payout!G13+'(Other Computations)'!C224*Inputs!B75,1,0)</f>
        <v>0</v>
      </c>
      <c r="D77" s="109">
        <f>IF((Investment!C278+Investment!D294+'(Other Computations)'!D224)/(1+Inputs!D68)&gt;(1+Inputs!E82)*Payout!H13+'(Other Computations)'!D224*Inputs!B75,1,0)</f>
        <v>0</v>
      </c>
    </row>
    <row r="78" spans="1:4" ht="12.75" hidden="1" customHeight="1" outlineLevel="2">
      <c r="A78" s="69" t="str">
        <f>"         "&amp;Labels!B68</f>
        <v xml:space="preserve">         Trigger Price</v>
      </c>
      <c r="B78" s="108">
        <f>-1</f>
        <v>-1</v>
      </c>
      <c r="C78" s="108">
        <f>-1</f>
        <v>-1</v>
      </c>
      <c r="D78" s="109">
        <f>-1</f>
        <v>-1</v>
      </c>
    </row>
    <row r="79" spans="1:4" ht="12.75" hidden="1" customHeight="1" outlineLevel="2">
      <c r="A79" s="69" t="str">
        <f>"   "&amp;Labels!B88</f>
        <v xml:space="preserve">   Common</v>
      </c>
      <c r="B79" s="104"/>
      <c r="C79" s="104"/>
      <c r="D79" s="105"/>
    </row>
    <row r="80" spans="1:4" ht="12.75" hidden="1" customHeight="1" outlineLevel="2">
      <c r="A80" s="69" t="str">
        <f>"         "&amp;Labels!B64</f>
        <v xml:space="preserve">         Trigger Date</v>
      </c>
      <c r="B80" s="108">
        <f t="shared" ref="B80:D84" si="3">-1</f>
        <v>-1</v>
      </c>
      <c r="C80" s="108">
        <f t="shared" si="3"/>
        <v>-1</v>
      </c>
      <c r="D80" s="109">
        <f t="shared" si="3"/>
        <v>-1</v>
      </c>
    </row>
    <row r="81" spans="1:4" ht="12.75" hidden="1" customHeight="1" outlineLevel="2">
      <c r="A81" s="69" t="str">
        <f>"         "&amp;Labels!B65</f>
        <v xml:space="preserve">         Trigger Invest</v>
      </c>
      <c r="B81" s="108">
        <f t="shared" si="3"/>
        <v>-1</v>
      </c>
      <c r="C81" s="108">
        <f t="shared" si="3"/>
        <v>-1</v>
      </c>
      <c r="D81" s="109">
        <f t="shared" si="3"/>
        <v>-1</v>
      </c>
    </row>
    <row r="82" spans="1:4" ht="12.75" hidden="1" customHeight="1" outlineLevel="2">
      <c r="A82" s="69" t="str">
        <f>"         "&amp;Labels!B66</f>
        <v xml:space="preserve">         Trigger Value %</v>
      </c>
      <c r="B82" s="108">
        <f t="shared" si="3"/>
        <v>-1</v>
      </c>
      <c r="C82" s="108">
        <f t="shared" si="3"/>
        <v>-1</v>
      </c>
      <c r="D82" s="109">
        <f t="shared" si="3"/>
        <v>-1</v>
      </c>
    </row>
    <row r="83" spans="1:4" ht="12.75" hidden="1" customHeight="1" outlineLevel="2">
      <c r="A83" s="69" t="str">
        <f>"         "&amp;Labels!B67</f>
        <v xml:space="preserve">         Liquidation</v>
      </c>
      <c r="B83" s="108">
        <f t="shared" si="3"/>
        <v>-1</v>
      </c>
      <c r="C83" s="108">
        <f t="shared" si="3"/>
        <v>-1</v>
      </c>
      <c r="D83" s="109">
        <f t="shared" si="3"/>
        <v>-1</v>
      </c>
    </row>
    <row r="84" spans="1:4" ht="12.75" hidden="1" customHeight="1" outlineLevel="2">
      <c r="A84" s="69" t="str">
        <f>"         "&amp;Labels!B68</f>
        <v xml:space="preserve">         Trigger Price</v>
      </c>
      <c r="B84" s="108">
        <f t="shared" si="3"/>
        <v>-1</v>
      </c>
      <c r="C84" s="108">
        <f t="shared" si="3"/>
        <v>-1</v>
      </c>
      <c r="D84" s="109">
        <f t="shared" si="3"/>
        <v>-1</v>
      </c>
    </row>
    <row r="85" spans="1:4" ht="12.75" hidden="1" customHeight="1" outlineLevel="2">
      <c r="A85" s="69" t="str">
        <f>"   "&amp;Labels!B89</f>
        <v xml:space="preserve">   Warrant</v>
      </c>
      <c r="B85" s="104"/>
      <c r="C85" s="104"/>
      <c r="D85" s="105"/>
    </row>
    <row r="86" spans="1:4" ht="12.75" hidden="1" customHeight="1" outlineLevel="2">
      <c r="A86" s="69" t="str">
        <f>"         "&amp;Labels!B64</f>
        <v xml:space="preserve">         Trigger Date</v>
      </c>
      <c r="B86" s="108">
        <f>IF(Investment!B209&gt;=Boneyard!D14,1,0)</f>
        <v>0</v>
      </c>
      <c r="C86" s="108">
        <f>IF(Investment!C209&gt;=Boneyard!D14,1,0)</f>
        <v>1</v>
      </c>
      <c r="D86" s="109">
        <f>IF(Investment!D209&gt;=Boneyard!D14,1,0)</f>
        <v>1</v>
      </c>
    </row>
    <row r="87" spans="1:4" ht="12.75" hidden="1" customHeight="1" outlineLevel="2">
      <c r="A87" s="69" t="str">
        <f>"         "&amp;Labels!B65</f>
        <v xml:space="preserve">         Trigger Invest</v>
      </c>
      <c r="B87" s="108">
        <f>IF(Investment!B89+Investment!B88+Investment!B85&gt;=Boneyard!F14,1,0)</f>
        <v>0</v>
      </c>
      <c r="C87" s="108">
        <f>IF(Investment!C89+Investment!C88+Investment!C85&gt;=Boneyard!F14,1,0)</f>
        <v>0</v>
      </c>
      <c r="D87" s="109">
        <f>IF(Investment!D89+Investment!D88+Investment!D85&gt;=Boneyard!F14,1,0)</f>
        <v>0</v>
      </c>
    </row>
    <row r="88" spans="1:4" ht="12.75" hidden="1" customHeight="1" outlineLevel="2">
      <c r="A88" s="69" t="str">
        <f>"         "&amp;Labels!B66</f>
        <v xml:space="preserve">         Trigger Value %</v>
      </c>
      <c r="B88" s="108">
        <f t="shared" ref="B88:D89" si="4">-1</f>
        <v>-1</v>
      </c>
      <c r="C88" s="108">
        <f t="shared" si="4"/>
        <v>-1</v>
      </c>
      <c r="D88" s="109">
        <f t="shared" si="4"/>
        <v>-1</v>
      </c>
    </row>
    <row r="89" spans="1:4" ht="12.75" hidden="1" customHeight="1" outlineLevel="2">
      <c r="A89" s="69" t="str">
        <f>"         "&amp;Labels!B67</f>
        <v xml:space="preserve">         Liquidation</v>
      </c>
      <c r="B89" s="108">
        <f t="shared" si="4"/>
        <v>-1</v>
      </c>
      <c r="C89" s="108">
        <f t="shared" si="4"/>
        <v>-1</v>
      </c>
      <c r="D89" s="109">
        <f t="shared" si="4"/>
        <v>-1</v>
      </c>
    </row>
    <row r="90" spans="1:4" ht="12.75" hidden="1" customHeight="1" outlineLevel="2">
      <c r="A90" s="69" t="str">
        <f>"         "&amp;Labels!B68</f>
        <v xml:space="preserve">         Trigger Price</v>
      </c>
      <c r="B90" s="108">
        <f>IF('(Other Computations)'!B12&lt;'(Other Computations)'!B181,1,0)</f>
        <v>1</v>
      </c>
      <c r="C90" s="108">
        <f>IF('(Other Computations)'!B12&lt;'(Other Computations)'!C181,1,0)</f>
        <v>1</v>
      </c>
      <c r="D90" s="109">
        <f>IF('(Other Computations)'!B12&lt;'(Other Computations)'!D181,1,0)</f>
        <v>1</v>
      </c>
    </row>
    <row r="91" spans="1:4" ht="12.75" hidden="1" customHeight="1" outlineLevel="2">
      <c r="A91" s="13" t="str">
        <f>"   "&amp;Labels!B90</f>
        <v xml:space="preserve">   Option</v>
      </c>
      <c r="B91" s="102"/>
      <c r="C91" s="102"/>
      <c r="D91" s="103"/>
    </row>
    <row r="92" spans="1:4" ht="12.75" hidden="1" customHeight="1" outlineLevel="2">
      <c r="A92" s="69" t="str">
        <f>"      "&amp;Labels!B91</f>
        <v xml:space="preserve">      Series B</v>
      </c>
      <c r="B92" s="104"/>
      <c r="C92" s="104"/>
      <c r="D92" s="105"/>
    </row>
    <row r="93" spans="1:4" ht="12.75" hidden="1" customHeight="1" outlineLevel="2">
      <c r="A93" s="69" t="str">
        <f>"         "&amp;Labels!B64</f>
        <v xml:space="preserve">         Trigger Date</v>
      </c>
      <c r="B93" s="108">
        <f>IF(Investment!B209&gt;=Inputs!E126,1,0)</f>
        <v>0</v>
      </c>
      <c r="C93" s="108">
        <f>IF(Investment!C209&gt;=Inputs!E126,1,0)</f>
        <v>1</v>
      </c>
      <c r="D93" s="109">
        <f>IF(Investment!D209&gt;=Inputs!E126,1,0)</f>
        <v>1</v>
      </c>
    </row>
    <row r="94" spans="1:4" ht="12.75" hidden="1" customHeight="1" outlineLevel="2">
      <c r="A94" s="69" t="str">
        <f>"         "&amp;Labels!B65</f>
        <v xml:space="preserve">         Trigger Invest</v>
      </c>
      <c r="B94" s="108">
        <f>IF(Investment!B89+Investment!B88+Investment!B85&gt;=Inputs!B130,1,0)</f>
        <v>0</v>
      </c>
      <c r="C94" s="108">
        <f>IF(Investment!C89+Investment!C88+Investment!C85&gt;=Inputs!B130,1,0)</f>
        <v>0</v>
      </c>
      <c r="D94" s="109">
        <f>IF(Investment!D89+Investment!D88+Investment!D85&gt;=Inputs!B130,1,0)</f>
        <v>0</v>
      </c>
    </row>
    <row r="95" spans="1:4" ht="12.75" hidden="1" customHeight="1" outlineLevel="2">
      <c r="A95" s="69" t="str">
        <f>"         "&amp;Labels!B66</f>
        <v xml:space="preserve">         Trigger Value %</v>
      </c>
      <c r="B95" s="108">
        <f t="shared" ref="B95:D96" si="5">-1</f>
        <v>-1</v>
      </c>
      <c r="C95" s="108">
        <f t="shared" si="5"/>
        <v>-1</v>
      </c>
      <c r="D95" s="109">
        <f t="shared" si="5"/>
        <v>-1</v>
      </c>
    </row>
    <row r="96" spans="1:4" ht="12.75" hidden="1" customHeight="1" outlineLevel="2">
      <c r="A96" s="69" t="str">
        <f>"         "&amp;Labels!B67</f>
        <v xml:space="preserve">         Liquidation</v>
      </c>
      <c r="B96" s="108">
        <f t="shared" si="5"/>
        <v>-1</v>
      </c>
      <c r="C96" s="108">
        <f t="shared" si="5"/>
        <v>-1</v>
      </c>
      <c r="D96" s="109">
        <f t="shared" si="5"/>
        <v>-1</v>
      </c>
    </row>
    <row r="97" spans="1:6" ht="12.75" hidden="1" customHeight="1" outlineLevel="2">
      <c r="A97" s="69" t="str">
        <f>"         "&amp;Labels!B68</f>
        <v xml:space="preserve">         Trigger Price</v>
      </c>
      <c r="B97" s="108">
        <f>IF(Inputs!B126&lt;'(Other Computations)'!B181,1,0)</f>
        <v>1</v>
      </c>
      <c r="C97" s="108">
        <f>IF(Inputs!B126&lt;'(Other Computations)'!C181,1,0)</f>
        <v>1</v>
      </c>
      <c r="D97" s="109">
        <f>IF(Inputs!B126&lt;'(Other Computations)'!D181,1,0)</f>
        <v>1</v>
      </c>
    </row>
    <row r="98" spans="1:6" ht="12.75" hidden="1" customHeight="1" outlineLevel="2">
      <c r="A98" s="69" t="str">
        <f>"      "&amp;Labels!B92</f>
        <v xml:space="preserve">      Series A</v>
      </c>
      <c r="B98" s="104"/>
      <c r="C98" s="104"/>
      <c r="D98" s="105"/>
    </row>
    <row r="99" spans="1:6" ht="12.75" hidden="1" customHeight="1" outlineLevel="2">
      <c r="A99" s="69" t="str">
        <f>"         "&amp;Labels!B64</f>
        <v xml:space="preserve">         Trigger Date</v>
      </c>
      <c r="B99" s="108">
        <f>IF(Investment!B209&gt;=Inputs!E127,1,0)</f>
        <v>0</v>
      </c>
      <c r="C99" s="108">
        <f>IF(Investment!C209&gt;=Inputs!E127,1,0)</f>
        <v>1</v>
      </c>
      <c r="D99" s="109">
        <f>IF(Investment!D209&gt;=Inputs!E127,1,0)</f>
        <v>1</v>
      </c>
    </row>
    <row r="100" spans="1:6" ht="12.75" hidden="1" customHeight="1" outlineLevel="2">
      <c r="A100" s="69" t="str">
        <f>"         "&amp;Labels!B65</f>
        <v xml:space="preserve">         Trigger Invest</v>
      </c>
      <c r="B100" s="108">
        <f>IF(Investment!B89+Investment!B88+Investment!B85&gt;=Inputs!B131,1,0)</f>
        <v>0</v>
      </c>
      <c r="C100" s="108">
        <f>IF(Investment!C89+Investment!C88+Investment!C85&gt;=Inputs!B131,1,0)</f>
        <v>0</v>
      </c>
      <c r="D100" s="109">
        <f>IF(Investment!D89+Investment!D88+Investment!D85&gt;=Inputs!B131,1,0)</f>
        <v>0</v>
      </c>
    </row>
    <row r="101" spans="1:6" ht="12.75" hidden="1" customHeight="1" outlineLevel="2">
      <c r="A101" s="69" t="str">
        <f>"         "&amp;Labels!B66</f>
        <v xml:space="preserve">         Trigger Value %</v>
      </c>
      <c r="B101" s="108">
        <f t="shared" ref="B101:D102" si="6">-1</f>
        <v>-1</v>
      </c>
      <c r="C101" s="108">
        <f t="shared" si="6"/>
        <v>-1</v>
      </c>
      <c r="D101" s="109">
        <f t="shared" si="6"/>
        <v>-1</v>
      </c>
    </row>
    <row r="102" spans="1:6" ht="12.75" hidden="1" customHeight="1" outlineLevel="2">
      <c r="A102" s="69" t="str">
        <f>"         "&amp;Labels!B67</f>
        <v xml:space="preserve">         Liquidation</v>
      </c>
      <c r="B102" s="108">
        <f t="shared" si="6"/>
        <v>-1</v>
      </c>
      <c r="C102" s="108">
        <f t="shared" si="6"/>
        <v>-1</v>
      </c>
      <c r="D102" s="109">
        <f t="shared" si="6"/>
        <v>-1</v>
      </c>
    </row>
    <row r="103" spans="1:6" ht="12.75" hidden="1" customHeight="1" outlineLevel="2">
      <c r="A103" s="84" t="str">
        <f>"         "&amp;Labels!B68</f>
        <v xml:space="preserve">         Trigger Price</v>
      </c>
      <c r="B103" s="110">
        <f>IF(Inputs!B127&lt;'(Other Computations)'!B181,1,0)</f>
        <v>1</v>
      </c>
      <c r="C103" s="110">
        <f>IF(Inputs!B127&lt;'(Other Computations)'!C181,1,0)</f>
        <v>1</v>
      </c>
      <c r="D103" s="111">
        <f>IF(Inputs!B127&lt;'(Other Computations)'!D181,1,0)</f>
        <v>1</v>
      </c>
    </row>
    <row r="104" spans="1:6" ht="12.75" hidden="1" customHeight="1" outlineLevel="2">
      <c r="A104" s="213" t="str">
        <f>"The default conversion decision for each security is positive (negative)"</f>
        <v>The default conversion decision for each security is positive (negative)</v>
      </c>
      <c r="B104" s="213"/>
      <c r="C104" s="213"/>
      <c r="D104" s="213"/>
      <c r="E104" s="213"/>
      <c r="F104" s="213"/>
    </row>
    <row r="105" spans="1:6" ht="12.75" hidden="1" customHeight="1" outlineLevel="2">
      <c r="A105" s="213" t="str">
        <f>"if all these built-in conditions are satisfied (not satisfied)."</f>
        <v>if all these built-in conditions are satisfied (not satisfied).</v>
      </c>
      <c r="B105" s="213"/>
      <c r="C105" s="213"/>
      <c r="D105" s="213"/>
      <c r="E105" s="213"/>
      <c r="F105" s="213"/>
    </row>
    <row r="106" spans="1:6" ht="12.75" hidden="1" customHeight="1" outlineLevel="2">
      <c r="A106" s="213" t="str">
        <f>"1) The date of the current round &gt;= the trigger date"</f>
        <v>1) The date of the current round &gt;= the trigger date</v>
      </c>
      <c r="B106" s="213"/>
      <c r="C106" s="213"/>
      <c r="D106" s="213"/>
      <c r="E106" s="213"/>
      <c r="F106" s="213"/>
    </row>
    <row r="107" spans="1:6" ht="12.75" hidden="1" customHeight="1" outlineLevel="2">
      <c r="A107" s="213" t="str">
        <f>"2) The sum of investments in common, preferred and notes &gt; the trigger investment threshhold"</f>
        <v>2) The sum of investments in common, preferred and notes &gt; the trigger investment threshhold</v>
      </c>
      <c r="B107" s="213"/>
      <c r="C107" s="213"/>
      <c r="D107" s="213"/>
      <c r="E107" s="213"/>
      <c r="F107" s="213"/>
    </row>
    <row r="108" spans="1:6" ht="12.75" hidden="1" customHeight="1" outlineLevel="2">
      <c r="A108" s="213" t="str">
        <f>"3) For notes and preferred: investment in notes + preferred &lt; a stated fraction of firm value."</f>
        <v>3) For notes and preferred: investment in notes + preferred &lt; a stated fraction of firm value.</v>
      </c>
      <c r="B108" s="213"/>
      <c r="C108" s="213"/>
      <c r="D108" s="213"/>
      <c r="E108" s="213"/>
      <c r="F108" s="213"/>
    </row>
    <row r="109" spans="1:6" ht="12.75" hidden="1" customHeight="1" outlineLevel="2">
      <c r="A109" s="213" t="str">
        <f>"4) For notes and preferred: value of common shares obtained &gt; (1+premium) * liquidation preference."</f>
        <v>4) For notes and preferred: value of common shares obtained &gt; (1+premium) * liquidation preference.</v>
      </c>
      <c r="B109" s="213"/>
      <c r="C109" s="213"/>
      <c r="D109" s="213"/>
      <c r="E109" s="213"/>
      <c r="F109" s="213"/>
    </row>
    <row r="110" spans="1:6" ht="12.75" hidden="1" customHeight="1" outlineLevel="2">
      <c r="A110" s="213" t="str">
        <f>"5) For warrants and options: common share price &gt;= exercise price."</f>
        <v>5) For warrants and options: common share price &gt;= exercise price.</v>
      </c>
      <c r="B110" s="213"/>
      <c r="C110" s="213"/>
      <c r="D110" s="213"/>
      <c r="E110" s="213"/>
      <c r="F110" s="213"/>
    </row>
    <row r="111" spans="1:6" ht="12.75" hidden="1" customHeight="1" outlineLevel="2">
      <c r="A111" s="213" t="str">
        <f>"Key"</f>
        <v>Key</v>
      </c>
      <c r="B111" s="213"/>
      <c r="C111" s="213"/>
      <c r="D111" s="213"/>
      <c r="E111" s="213"/>
      <c r="F111" s="213"/>
    </row>
    <row r="112" spans="1:6" ht="12.75" hidden="1" customHeight="1" outlineLevel="2">
      <c r="A112" s="213" t="str">
        <f>"-1 : condition is satisfied"</f>
        <v>-1 : condition is satisfied</v>
      </c>
      <c r="B112" s="213"/>
      <c r="C112" s="213"/>
      <c r="D112" s="213"/>
      <c r="E112" s="213"/>
      <c r="F112" s="213"/>
    </row>
    <row r="113" spans="1:6" ht="12.75" hidden="1" customHeight="1" outlineLevel="2">
      <c r="A113" s="213" t="str">
        <f>" 0 : condition is not satisfied"</f>
        <v xml:space="preserve"> 0 : condition is not satisfied</v>
      </c>
      <c r="B113" s="213"/>
      <c r="C113" s="213"/>
      <c r="D113" s="213"/>
      <c r="E113" s="213"/>
      <c r="F113" s="213"/>
    </row>
    <row r="114" spans="1:6" ht="12.75" hidden="1" customHeight="1" outlineLevel="2">
      <c r="A114" s="213" t="str">
        <f>"-1 : condition is not relevant"</f>
        <v>-1 : condition is not relevant</v>
      </c>
      <c r="B114" s="213"/>
      <c r="C114" s="213"/>
      <c r="D114" s="213"/>
      <c r="E114" s="213"/>
      <c r="F114" s="213"/>
    </row>
    <row r="115" spans="1:6" ht="12.75" hidden="1" customHeight="1" outlineLevel="2" collapsed="1"/>
    <row r="116" spans="1:6" ht="12.75" hidden="1" customHeight="1" outlineLevel="1" collapsed="1"/>
    <row r="117" spans="1:6" ht="12.75" customHeight="1" collapsed="1"/>
  </sheetData>
  <mergeCells count="20">
    <mergeCell ref="A106:F106"/>
    <mergeCell ref="A1:D1"/>
    <mergeCell ref="A2:D2"/>
    <mergeCell ref="A3:D3"/>
    <mergeCell ref="A4:D4"/>
    <mergeCell ref="A5:D5"/>
    <mergeCell ref="A9:E9"/>
    <mergeCell ref="A37:G37"/>
    <mergeCell ref="A39:B39"/>
    <mergeCell ref="A53:C53"/>
    <mergeCell ref="A104:F104"/>
    <mergeCell ref="A105:F105"/>
    <mergeCell ref="A113:F113"/>
    <mergeCell ref="A114:F114"/>
    <mergeCell ref="A107:F107"/>
    <mergeCell ref="A108:F108"/>
    <mergeCell ref="A109:F109"/>
    <mergeCell ref="A110:F110"/>
    <mergeCell ref="A111:F111"/>
    <mergeCell ref="A112:F112"/>
  </mergeCells>
  <pageMargins left="0.75" right="0.75" top="1" bottom="1" header="0.5" footer="0.5"/>
  <pageSetup paperSize="9" orientation="landscape" horizontalDpi="0" verticalDpi="0" copies="0"/>
  <headerFooter alignWithMargins="0"/>
  <legacyDrawing r:id="rId1"/>
</worksheet>
</file>

<file path=xl/worksheets/sheet6.xml><?xml version="1.0" encoding="utf-8"?>
<worksheet xmlns="http://schemas.openxmlformats.org/spreadsheetml/2006/main" xmlns:r="http://schemas.openxmlformats.org/officeDocument/2006/relationships">
  <sheetPr>
    <outlinePr summaryBelow="0" summaryRight="0"/>
  </sheetPr>
  <dimension ref="A1:E50"/>
  <sheetViews>
    <sheetView workbookViewId="0">
      <selection sqref="A1:D1"/>
    </sheetView>
  </sheetViews>
  <sheetFormatPr defaultRowHeight="12.75" customHeight="1"/>
  <cols>
    <col min="1" max="1" width="16.42578125" customWidth="1"/>
    <col min="2" max="4" width="9.5703125" customWidth="1"/>
    <col min="5" max="5" width="9.42578125" customWidth="1"/>
  </cols>
  <sheetData>
    <row r="1" spans="1:5" ht="12.75" customHeight="1">
      <c r="A1" s="214" t="str">
        <f>"Capitalization Table"</f>
        <v>Capitalization Table</v>
      </c>
      <c r="B1" s="214"/>
      <c r="C1" s="214"/>
      <c r="D1" s="214"/>
    </row>
    <row r="2" spans="1:5" ht="12.75" customHeight="1">
      <c r="A2" s="214" t="str">
        <f>Inputs!B8</f>
        <v>ABC Corp.</v>
      </c>
      <c r="B2" s="214"/>
      <c r="C2" s="214"/>
      <c r="D2" s="214"/>
    </row>
    <row r="3" spans="1:5" ht="12.75" customHeight="1">
      <c r="A3" s="214" t="str">
        <f>IF("Prices"="(Default Input)","Ignore this sheet in normal use.","Investment Scenario "&amp;1&amp;", Valuation Scenario "&amp;1)</f>
        <v>Investment Scenario 1, Valuation Scenario 1</v>
      </c>
      <c r="B3" s="214"/>
      <c r="C3" s="214"/>
      <c r="D3" s="214"/>
    </row>
    <row r="4" spans="1:5" ht="12.75" customHeight="1">
      <c r="A4" s="214" t="str">
        <f>"Preferred Shares"</f>
        <v>Preferred Shares</v>
      </c>
      <c r="B4" s="214"/>
      <c r="C4" s="214"/>
      <c r="D4" s="214"/>
    </row>
    <row r="5" spans="1:5" ht="12.75" customHeight="1">
      <c r="A5" s="214" t="str">
        <f>""</f>
        <v/>
      </c>
      <c r="B5" s="214"/>
      <c r="C5" s="214"/>
      <c r="D5" s="214"/>
    </row>
    <row r="6" spans="1:5" ht="12.75" customHeight="1">
      <c r="B6" s="6" t="str">
        <f>Labels!B78</f>
        <v>Seed</v>
      </c>
      <c r="C6" s="7" t="str">
        <f>Labels!B79</f>
        <v>Round A</v>
      </c>
      <c r="D6" s="8" t="str">
        <f>Labels!B80</f>
        <v>Exit</v>
      </c>
    </row>
    <row r="7" spans="1:5" ht="12.75" customHeight="1">
      <c r="A7" s="4" t="str">
        <f>Labels!B19</f>
        <v>Event Date</v>
      </c>
      <c r="B7" s="76">
        <f>Investment!B209</f>
        <v>40391</v>
      </c>
      <c r="C7" s="76">
        <f>Investment!C209</f>
        <v>40725</v>
      </c>
      <c r="D7" s="77">
        <f>Investment!D209</f>
        <v>41061</v>
      </c>
    </row>
    <row r="9" spans="1:5" ht="12.75" customHeight="1">
      <c r="A9" s="215" t="str">
        <f>"Prices - New Securities"</f>
        <v>Prices - New Securities</v>
      </c>
      <c r="B9" s="215"/>
      <c r="C9" s="215"/>
    </row>
    <row r="10" spans="1:5" ht="12.75" customHeight="1">
      <c r="A10" s="1" t="str">
        <f>" "</f>
        <v xml:space="preserve"> </v>
      </c>
    </row>
    <row r="11" spans="1:5" ht="12.75" customHeight="1">
      <c r="B11" s="6" t="str">
        <f>Labels!B78</f>
        <v>Seed</v>
      </c>
      <c r="C11" s="7" t="str">
        <f>Labels!B79</f>
        <v>Round A</v>
      </c>
      <c r="D11" s="7" t="str">
        <f>Labels!B80</f>
        <v>Exit</v>
      </c>
      <c r="E11" s="17" t="str">
        <f>Labels!C77</f>
        <v>Total</v>
      </c>
    </row>
    <row r="12" spans="1:5" ht="12.75" customHeight="1">
      <c r="A12" s="11" t="str">
        <f>Labels!B50</f>
        <v>Price New Unit</v>
      </c>
      <c r="B12" s="56"/>
      <c r="C12" s="56"/>
      <c r="D12" s="56"/>
      <c r="E12" s="57"/>
    </row>
    <row r="13" spans="1:5" ht="12.75" customHeight="1">
      <c r="A13" s="13" t="str">
        <f>"   "&amp;Labels!B83</f>
        <v xml:space="preserve">   Conv Note</v>
      </c>
      <c r="B13" s="112"/>
      <c r="C13" s="112"/>
      <c r="D13" s="112"/>
      <c r="E13" s="59"/>
    </row>
    <row r="14" spans="1:5" ht="12.75" customHeight="1">
      <c r="A14" s="69" t="str">
        <f>"      "&amp;Labels!B84</f>
        <v xml:space="preserve">      Series B</v>
      </c>
      <c r="B14" s="58">
        <f>'(Other Computations)'!B19</f>
        <v>0</v>
      </c>
      <c r="C14" s="58">
        <f>'(Other Computations)'!C19</f>
        <v>0</v>
      </c>
      <c r="D14" s="58">
        <f>'(Other Computations)'!D19</f>
        <v>0</v>
      </c>
      <c r="E14" s="59">
        <f>AVERAGE(B14:D14)</f>
        <v>0</v>
      </c>
    </row>
    <row r="15" spans="1:5" ht="12.75" customHeight="1">
      <c r="A15" s="69" t="str">
        <f>"      "&amp;Labels!B85</f>
        <v xml:space="preserve">      Series A</v>
      </c>
      <c r="B15" s="58">
        <f>'(Other Computations)'!B20</f>
        <v>0</v>
      </c>
      <c r="C15" s="58">
        <f>'(Other Computations)'!C20</f>
        <v>0</v>
      </c>
      <c r="D15" s="58">
        <f>'(Other Computations)'!D20</f>
        <v>0</v>
      </c>
      <c r="E15" s="59">
        <f>AVERAGE(B15:D15)</f>
        <v>0</v>
      </c>
    </row>
    <row r="16" spans="1:5" ht="12.75" customHeight="1">
      <c r="A16" s="13" t="str">
        <f>"      "&amp;Labels!C83</f>
        <v xml:space="preserve">      Subtotal</v>
      </c>
      <c r="B16" s="112">
        <f>AVERAGE(B14:B15)</f>
        <v>0</v>
      </c>
      <c r="C16" s="112">
        <f>AVERAGE(C14:C15)</f>
        <v>0</v>
      </c>
      <c r="D16" s="112">
        <f>AVERAGE(D14:D15)</f>
        <v>0</v>
      </c>
      <c r="E16" s="59">
        <f>AVERAGE(E14:E15)</f>
        <v>0</v>
      </c>
    </row>
    <row r="17" spans="1:5" ht="12.75" customHeight="1">
      <c r="A17" s="13" t="str">
        <f>"   "&amp;Labels!B86</f>
        <v xml:space="preserve">   Preferred</v>
      </c>
      <c r="B17" s="112"/>
      <c r="C17" s="112"/>
      <c r="D17" s="112"/>
      <c r="E17" s="59"/>
    </row>
    <row r="18" spans="1:5" ht="12.75" customHeight="1">
      <c r="A18" s="69" t="str">
        <f>"      "&amp;Labels!B87</f>
        <v xml:space="preserve">      Series A</v>
      </c>
      <c r="B18" s="58">
        <f>'(Other Computations)'!B23</f>
        <v>1.1000000000000001</v>
      </c>
      <c r="C18" s="58">
        <f>'(Other Computations)'!C23</f>
        <v>29.04</v>
      </c>
      <c r="D18" s="58">
        <f>'(Other Computations)'!D23</f>
        <v>79.42</v>
      </c>
      <c r="E18" s="59">
        <f>AVERAGE(B18:D18)</f>
        <v>36.520000000000003</v>
      </c>
    </row>
    <row r="19" spans="1:5" ht="12.75" customHeight="1">
      <c r="A19" s="13" t="str">
        <f>"      "&amp;Labels!C86</f>
        <v xml:space="preserve">      Subtotal</v>
      </c>
      <c r="B19" s="112">
        <f>B18</f>
        <v>1.1000000000000001</v>
      </c>
      <c r="C19" s="112">
        <f>C18</f>
        <v>29.04</v>
      </c>
      <c r="D19" s="112">
        <f>D18</f>
        <v>79.42</v>
      </c>
      <c r="E19" s="59">
        <f>E18</f>
        <v>36.520000000000003</v>
      </c>
    </row>
    <row r="20" spans="1:5" ht="12.75" customHeight="1">
      <c r="A20" s="13" t="str">
        <f>"   "&amp;Labels!B88</f>
        <v xml:space="preserve">   Common</v>
      </c>
      <c r="B20" s="113">
        <f>'(Other Computations)'!B25</f>
        <v>1</v>
      </c>
      <c r="C20" s="113">
        <f>'(Other Computations)'!C25</f>
        <v>26.4</v>
      </c>
      <c r="D20" s="113">
        <f>'(Other Computations)'!D25</f>
        <v>72.2</v>
      </c>
      <c r="E20" s="59">
        <f>AVERAGE(B20:D20)</f>
        <v>33.199999999999996</v>
      </c>
    </row>
    <row r="21" spans="1:5" ht="12.75" customHeight="1">
      <c r="A21" s="13" t="str">
        <f>"   "&amp;Labels!B89</f>
        <v xml:space="preserve">   Warrant</v>
      </c>
      <c r="B21" s="113">
        <f>MAX(0,Boneyard!D26*B20+Boneyard!D26*(-'(Other Computations)'!B12))</f>
        <v>1</v>
      </c>
      <c r="C21" s="113">
        <f>MAX(0,Boneyard!D26*C20+Boneyard!D26*(-'(Other Computations)'!B12))</f>
        <v>26.4</v>
      </c>
      <c r="D21" s="113">
        <f>MAX(0,Boneyard!D26*D20+Boneyard!D26*(-'(Other Computations)'!B12))</f>
        <v>72.2</v>
      </c>
      <c r="E21" s="59">
        <f>AVERAGE(B21:D21)</f>
        <v>33.199999999999996</v>
      </c>
    </row>
    <row r="22" spans="1:5" ht="12.75" customHeight="1">
      <c r="A22" s="13" t="str">
        <f>"   "&amp;Labels!B90</f>
        <v xml:space="preserve">   Option</v>
      </c>
      <c r="B22" s="112"/>
      <c r="C22" s="112"/>
      <c r="D22" s="112"/>
      <c r="E22" s="59"/>
    </row>
    <row r="23" spans="1:5" ht="12.75" customHeight="1">
      <c r="A23" s="69" t="str">
        <f>"      "&amp;Labels!B91</f>
        <v xml:space="preserve">      Series B</v>
      </c>
      <c r="B23" s="114">
        <f>Inputs!B115</f>
        <v>1</v>
      </c>
      <c r="C23" s="114">
        <f>Inputs!C115</f>
        <v>26.4</v>
      </c>
      <c r="D23" s="114">
        <f>Inputs!D115</f>
        <v>72.2</v>
      </c>
      <c r="E23" s="59">
        <f>Inputs!E115</f>
        <v>33.199999999999996</v>
      </c>
    </row>
    <row r="24" spans="1:5" ht="12.75" customHeight="1">
      <c r="A24" s="69" t="str">
        <f>"      "&amp;Labels!B92</f>
        <v xml:space="preserve">      Series A</v>
      </c>
      <c r="B24" s="114">
        <f>Inputs!B116</f>
        <v>1</v>
      </c>
      <c r="C24" s="114">
        <f>Inputs!C116</f>
        <v>26.4</v>
      </c>
      <c r="D24" s="114">
        <f>Inputs!D116</f>
        <v>72.2</v>
      </c>
      <c r="E24" s="59">
        <f>Inputs!E116</f>
        <v>33.199999999999996</v>
      </c>
    </row>
    <row r="25" spans="1:5" ht="12.75" customHeight="1">
      <c r="A25" s="13" t="str">
        <f>"      "&amp;Labels!C90</f>
        <v xml:space="preserve">      Subtotal</v>
      </c>
      <c r="B25" s="112">
        <f>Inputs!B117</f>
        <v>1</v>
      </c>
      <c r="C25" s="112">
        <f>Inputs!C117</f>
        <v>26.4</v>
      </c>
      <c r="D25" s="112">
        <f>Inputs!D117</f>
        <v>72.2</v>
      </c>
      <c r="E25" s="59">
        <f>Inputs!E117</f>
        <v>33.199999999999996</v>
      </c>
    </row>
    <row r="26" spans="1:5" ht="12.75" customHeight="1">
      <c r="A26" s="21" t="str">
        <f>"   "&amp;Labels!C82</f>
        <v xml:space="preserve">   Total</v>
      </c>
      <c r="B26" s="115">
        <f>AVERAGE(B16,B19:B21,Inputs!B117)</f>
        <v>0.82</v>
      </c>
      <c r="C26" s="115">
        <f>AVERAGE(C16,C19:C21,Inputs!C117)</f>
        <v>21.648000000000003</v>
      </c>
      <c r="D26" s="115">
        <f>AVERAGE(D16,D19:D21,Inputs!D117)</f>
        <v>59.203999999999994</v>
      </c>
      <c r="E26" s="116">
        <f>AVERAGE(E16,E19:E21,Inputs!E117)</f>
        <v>27.223999999999997</v>
      </c>
    </row>
    <row r="29" spans="1:5" ht="12.75" customHeight="1">
      <c r="A29" s="215" t="str">
        <f>"Conversion and Exercise Prices"</f>
        <v>Conversion and Exercise Prices</v>
      </c>
      <c r="B29" s="215"/>
      <c r="C29" s="215"/>
    </row>
    <row r="30" spans="1:5" ht="12.75" customHeight="1">
      <c r="A30" s="1" t="str">
        <f>" "</f>
        <v xml:space="preserve"> </v>
      </c>
    </row>
    <row r="31" spans="1:5" ht="12.75" customHeight="1">
      <c r="A31" s="216" t="str">
        <f>"Convertible Notes"</f>
        <v>Convertible Notes</v>
      </c>
      <c r="B31" s="216"/>
    </row>
    <row r="32" spans="1:5" ht="12.75" customHeight="1">
      <c r="B32" s="6" t="str">
        <f>Labels!B78</f>
        <v>Seed</v>
      </c>
      <c r="C32" s="7" t="str">
        <f>Labels!B79</f>
        <v>Round A</v>
      </c>
      <c r="D32" s="7" t="str">
        <f>Labels!B80</f>
        <v>Exit</v>
      </c>
      <c r="E32" s="17" t="str">
        <f>Labels!C77</f>
        <v>Total</v>
      </c>
    </row>
    <row r="33" spans="1:5" ht="12.75" customHeight="1">
      <c r="A33" s="11" t="str">
        <f>Labels!B49</f>
        <v>Conversion Price</v>
      </c>
      <c r="B33" s="56"/>
      <c r="C33" s="56"/>
      <c r="D33" s="56"/>
      <c r="E33" s="57"/>
    </row>
    <row r="34" spans="1:5" ht="12.75" customHeight="1">
      <c r="A34" s="13" t="str">
        <f>"   "&amp;Labels!B84</f>
        <v xml:space="preserve">   Series B</v>
      </c>
      <c r="B34" s="112">
        <f>MAX(0,'(Other Computations)'!B181*1+'(Other Computations)'!B181*(-Inputs!B38))</f>
        <v>7.7</v>
      </c>
      <c r="C34" s="112">
        <f>MAX(0,'(Other Computations)'!C181*1+'(Other Computations)'!C181*(-Inputs!B38))</f>
        <v>18.48</v>
      </c>
      <c r="D34" s="112">
        <f>MAX(0,'(Other Computations)'!D181*1+'(Other Computations)'!D181*(-Inputs!B38))</f>
        <v>50.540000000000006</v>
      </c>
      <c r="E34" s="59">
        <f>D34</f>
        <v>50.540000000000006</v>
      </c>
    </row>
    <row r="35" spans="1:5" ht="12.75" customHeight="1">
      <c r="A35" s="13" t="str">
        <f>"   "&amp;Labels!B85</f>
        <v xml:space="preserve">   Series A</v>
      </c>
      <c r="B35" s="112">
        <f>MAX(0,'(Other Computations)'!B181*1+'(Other Computations)'!B181*(-Inputs!B39))</f>
        <v>7.7</v>
      </c>
      <c r="C35" s="112">
        <f>MAX(0,'(Other Computations)'!C181*1+'(Other Computations)'!C181*(-Inputs!B39))</f>
        <v>18.48</v>
      </c>
      <c r="D35" s="112">
        <f>MAX(0,'(Other Computations)'!D181*1+'(Other Computations)'!D181*(-Inputs!B39))</f>
        <v>50.540000000000006</v>
      </c>
      <c r="E35" s="59">
        <f>D35</f>
        <v>50.540000000000006</v>
      </c>
    </row>
    <row r="36" spans="1:5" ht="12.75" customHeight="1">
      <c r="A36" s="21" t="str">
        <f>"   "&amp;Labels!C83</f>
        <v xml:space="preserve">   Subtotal</v>
      </c>
      <c r="B36" s="115">
        <f>B35</f>
        <v>7.7</v>
      </c>
      <c r="C36" s="115">
        <f>C35</f>
        <v>18.48</v>
      </c>
      <c r="D36" s="115">
        <f>D35</f>
        <v>50.540000000000006</v>
      </c>
      <c r="E36" s="116">
        <f>E35</f>
        <v>50.540000000000006</v>
      </c>
    </row>
    <row r="38" spans="1:5" ht="12.75" customHeight="1">
      <c r="A38" s="216" t="str">
        <f>"Preferred Stock"</f>
        <v>Preferred Stock</v>
      </c>
      <c r="B38" s="216"/>
    </row>
    <row r="39" spans="1:5" ht="12.75" customHeight="1">
      <c r="A39" s="11" t="str">
        <f>Labels!B49</f>
        <v>Conversion Price</v>
      </c>
      <c r="B39" s="56"/>
      <c r="C39" s="56"/>
      <c r="D39" s="56"/>
      <c r="E39" s="57"/>
    </row>
    <row r="40" spans="1:5" ht="12.75" customHeight="1">
      <c r="A40" s="13" t="str">
        <f>"   "&amp;Labels!B87</f>
        <v xml:space="preserve">   Series A</v>
      </c>
      <c r="B40" s="112">
        <f>MAX(0,'(Other Computations)'!B181)</f>
        <v>11</v>
      </c>
      <c r="C40" s="112">
        <f>MAX(0,'(Other Computations)'!C181)</f>
        <v>26.4</v>
      </c>
      <c r="D40" s="112">
        <f>MAX(0,'(Other Computations)'!D181)</f>
        <v>72.2</v>
      </c>
      <c r="E40" s="59">
        <f>D40</f>
        <v>72.2</v>
      </c>
    </row>
    <row r="41" spans="1:5" ht="12.75" customHeight="1">
      <c r="A41" s="21" t="str">
        <f>"   "&amp;Labels!C86</f>
        <v xml:space="preserve">   Subtotal</v>
      </c>
      <c r="B41" s="115">
        <f>B40</f>
        <v>11</v>
      </c>
      <c r="C41" s="115">
        <f>C40</f>
        <v>26.4</v>
      </c>
      <c r="D41" s="115">
        <f>D40</f>
        <v>72.2</v>
      </c>
      <c r="E41" s="116">
        <f>E40</f>
        <v>72.2</v>
      </c>
    </row>
    <row r="43" spans="1:5" ht="12.75" customHeight="1">
      <c r="A43" s="3" t="str">
        <f>"Warrants"</f>
        <v>Warrants</v>
      </c>
    </row>
    <row r="44" spans="1:5" ht="12.75" customHeight="1">
      <c r="A44" s="4" t="str">
        <f>Labels!B49</f>
        <v>Conversion Price</v>
      </c>
      <c r="B44" s="117">
        <f>MAX(0,'(Other Computations)'!B181-'(Other Computations)'!B12)</f>
        <v>11</v>
      </c>
      <c r="C44" s="117">
        <f>MAX(0,'(Other Computations)'!C181-'(Other Computations)'!B12)</f>
        <v>26.4</v>
      </c>
      <c r="D44" s="117">
        <f>MAX(0,'(Other Computations)'!D181-'(Other Computations)'!B12)</f>
        <v>72.2</v>
      </c>
      <c r="E44" s="52">
        <f>D44</f>
        <v>72.2</v>
      </c>
    </row>
    <row r="46" spans="1:5" ht="12.75" customHeight="1">
      <c r="A46" s="3" t="str">
        <f>"Options"</f>
        <v>Options</v>
      </c>
    </row>
    <row r="47" spans="1:5" ht="12.75" customHeight="1">
      <c r="A47" s="11" t="str">
        <f>Labels!B49</f>
        <v>Conversion Price</v>
      </c>
      <c r="B47" s="56"/>
      <c r="C47" s="56"/>
      <c r="D47" s="56"/>
      <c r="E47" s="57"/>
    </row>
    <row r="48" spans="1:5" ht="12.75" customHeight="1">
      <c r="A48" s="13" t="str">
        <f>"   "&amp;Labels!B91</f>
        <v xml:space="preserve">   Series B</v>
      </c>
      <c r="B48" s="112">
        <f>MAX(0,'(Other Computations)'!B181-Inputs!B126)</f>
        <v>11</v>
      </c>
      <c r="C48" s="112">
        <f>MAX(0,'(Other Computations)'!C181-Inputs!B126)</f>
        <v>26.4</v>
      </c>
      <c r="D48" s="112">
        <f>MAX(0,'(Other Computations)'!D181-Inputs!B126)</f>
        <v>72.2</v>
      </c>
      <c r="E48" s="59">
        <f>D48</f>
        <v>72.2</v>
      </c>
    </row>
    <row r="49" spans="1:5" ht="12.75" customHeight="1">
      <c r="A49" s="13" t="str">
        <f>"   "&amp;Labels!B92</f>
        <v xml:space="preserve">   Series A</v>
      </c>
      <c r="B49" s="112">
        <f>MAX(0,'(Other Computations)'!B181-Inputs!B127)</f>
        <v>11</v>
      </c>
      <c r="C49" s="112">
        <f>MAX(0,'(Other Computations)'!C181-Inputs!B127)</f>
        <v>26.4</v>
      </c>
      <c r="D49" s="112">
        <f>MAX(0,'(Other Computations)'!D181-Inputs!B127)</f>
        <v>72.2</v>
      </c>
      <c r="E49" s="59">
        <f>D49</f>
        <v>72.2</v>
      </c>
    </row>
    <row r="50" spans="1:5" ht="12.75" customHeight="1">
      <c r="A50" s="21" t="str">
        <f>"   "&amp;Labels!C90</f>
        <v xml:space="preserve">   Subtotal</v>
      </c>
      <c r="B50" s="115">
        <f>B49</f>
        <v>11</v>
      </c>
      <c r="C50" s="115">
        <f>C49</f>
        <v>26.4</v>
      </c>
      <c r="D50" s="115">
        <f>D49</f>
        <v>72.2</v>
      </c>
      <c r="E50" s="116">
        <f>E49</f>
        <v>72.2</v>
      </c>
    </row>
  </sheetData>
  <mergeCells count="9">
    <mergeCell ref="A29:C29"/>
    <mergeCell ref="A31:B31"/>
    <mergeCell ref="A38:B38"/>
    <mergeCell ref="A1:D1"/>
    <mergeCell ref="A2:D2"/>
    <mergeCell ref="A3:D3"/>
    <mergeCell ref="A4:D4"/>
    <mergeCell ref="A5:D5"/>
    <mergeCell ref="A9:C9"/>
  </mergeCells>
  <pageMargins left="0.75" right="0.75" top="1" bottom="1" header="0.5" footer="0.5"/>
  <pageSetup paperSize="9" orientation="landscape" horizontalDpi="0" verticalDpi="0" copies="0"/>
  <headerFooter alignWithMargins="0"/>
  <legacyDrawing r:id="rId1"/>
</worksheet>
</file>

<file path=xl/worksheets/sheet7.xml><?xml version="1.0" encoding="utf-8"?>
<worksheet xmlns="http://schemas.openxmlformats.org/spreadsheetml/2006/main" xmlns:r="http://schemas.openxmlformats.org/officeDocument/2006/relationships">
  <sheetPr>
    <outlinePr summaryBelow="0" summaryRight="0"/>
  </sheetPr>
  <dimension ref="A1:E50"/>
  <sheetViews>
    <sheetView workbookViewId="0">
      <selection sqref="A1:D1"/>
    </sheetView>
  </sheetViews>
  <sheetFormatPr defaultRowHeight="12.75" customHeight="1"/>
  <cols>
    <col min="1" max="1" width="18.5703125" customWidth="1"/>
    <col min="2" max="4" width="9.5703125" customWidth="1"/>
    <col min="5" max="5" width="9.42578125" customWidth="1"/>
  </cols>
  <sheetData>
    <row r="1" spans="1:5" ht="12.75" customHeight="1">
      <c r="A1" s="214" t="str">
        <f>"Capitalization Table"</f>
        <v>Capitalization Table</v>
      </c>
      <c r="B1" s="214"/>
      <c r="C1" s="214"/>
      <c r="D1" s="214"/>
    </row>
    <row r="2" spans="1:5" ht="12.75" customHeight="1">
      <c r="A2" s="214" t="str">
        <f>Inputs!B8</f>
        <v>ABC Corp.</v>
      </c>
      <c r="B2" s="214"/>
      <c r="C2" s="214"/>
      <c r="D2" s="214"/>
    </row>
    <row r="3" spans="1:5" ht="12.75" customHeight="1">
      <c r="A3" s="214" t="str">
        <f>IF("Options"="(Default Input)","Ignore this sheet in normal use.","Investment Scenario "&amp;1&amp;", Valuation Scenario "&amp;1)</f>
        <v>Investment Scenario 1, Valuation Scenario 1</v>
      </c>
      <c r="B3" s="214"/>
      <c r="C3" s="214"/>
      <c r="D3" s="214"/>
    </row>
    <row r="4" spans="1:5" ht="12.75" customHeight="1">
      <c r="A4" s="214" t="str">
        <f>"Option Summary"</f>
        <v>Option Summary</v>
      </c>
      <c r="B4" s="214"/>
      <c r="C4" s="214"/>
      <c r="D4" s="214"/>
    </row>
    <row r="5" spans="1:5" ht="12.75" customHeight="1">
      <c r="A5" s="214" t="str">
        <f>""</f>
        <v/>
      </c>
      <c r="B5" s="214"/>
      <c r="C5" s="214"/>
      <c r="D5" s="214"/>
    </row>
    <row r="6" spans="1:5" ht="12.75" customHeight="1">
      <c r="B6" s="6" t="str">
        <f>Labels!B78</f>
        <v>Seed</v>
      </c>
      <c r="C6" s="7" t="str">
        <f>Labels!B79</f>
        <v>Round A</v>
      </c>
      <c r="D6" s="8" t="str">
        <f>Labels!B80</f>
        <v>Exit</v>
      </c>
    </row>
    <row r="7" spans="1:5" ht="12.75" customHeight="1">
      <c r="A7" s="4" t="str">
        <f>Labels!B19</f>
        <v>Event Date</v>
      </c>
      <c r="B7" s="76">
        <f>Investment!B209</f>
        <v>40391</v>
      </c>
      <c r="C7" s="76">
        <f>Investment!C209</f>
        <v>40725</v>
      </c>
      <c r="D7" s="77">
        <f>Investment!D209</f>
        <v>41061</v>
      </c>
    </row>
    <row r="9" spans="1:5" ht="12.75" customHeight="1">
      <c r="A9" s="2" t="str">
        <f>"Warrants"</f>
        <v>Warrants</v>
      </c>
    </row>
    <row r="10" spans="1:5" ht="12.75" customHeight="1">
      <c r="A10" s="1" t="str">
        <f>" "</f>
        <v xml:space="preserve"> </v>
      </c>
    </row>
    <row r="11" spans="1:5" ht="12.75" customHeight="1">
      <c r="B11" s="6" t="str">
        <f>Labels!B78</f>
        <v>Seed</v>
      </c>
      <c r="C11" s="7" t="str">
        <f>Labels!B79</f>
        <v>Round A</v>
      </c>
      <c r="D11" s="7" t="str">
        <f>Labels!B80</f>
        <v>Exit</v>
      </c>
      <c r="E11" s="17" t="str">
        <f>Labels!C77</f>
        <v>Total</v>
      </c>
    </row>
    <row r="12" spans="1:5" ht="12.75" customHeight="1">
      <c r="A12" s="11" t="str">
        <f>Labels!B37</f>
        <v>Exercise Amt</v>
      </c>
      <c r="B12" s="18"/>
      <c r="C12" s="18"/>
      <c r="D12" s="18"/>
      <c r="E12" s="12"/>
    </row>
    <row r="13" spans="1:5" ht="12.75" customHeight="1">
      <c r="A13" s="13" t="str">
        <f>"   "&amp;Labels!B71</f>
        <v xml:space="preserve">   Start</v>
      </c>
      <c r="B13" s="72">
        <f>0</f>
        <v>0</v>
      </c>
      <c r="C13" s="72">
        <f>B17</f>
        <v>0</v>
      </c>
      <c r="D13" s="72">
        <f>C17</f>
        <v>0</v>
      </c>
      <c r="E13" s="20">
        <f>SUM(B13:D13)</f>
        <v>0</v>
      </c>
    </row>
    <row r="14" spans="1:5" ht="12.75" customHeight="1">
      <c r="A14" s="13" t="str">
        <f>"   "&amp;Labels!B72</f>
        <v xml:space="preserve">   New Sales</v>
      </c>
      <c r="B14" s="72">
        <f>'(Other Computations)'!B119*'(Other Computations)'!B12</f>
        <v>0</v>
      </c>
      <c r="C14" s="72">
        <f>'(Other Computations)'!C119*'(Other Computations)'!B12</f>
        <v>0</v>
      </c>
      <c r="D14" s="72">
        <f>'(Other Computations)'!D119*'(Other Computations)'!B12</f>
        <v>0</v>
      </c>
      <c r="E14" s="20">
        <f>SUM(B14:D14)</f>
        <v>0</v>
      </c>
    </row>
    <row r="15" spans="1:5" ht="12.75" customHeight="1">
      <c r="A15" s="13" t="str">
        <f>"   "&amp;Labels!B73</f>
        <v xml:space="preserve">   Post Sales</v>
      </c>
      <c r="B15" s="72">
        <f>B13+B14</f>
        <v>0</v>
      </c>
      <c r="C15" s="72">
        <f>C13+C14</f>
        <v>0</v>
      </c>
      <c r="D15" s="72">
        <f>D13+D14</f>
        <v>0</v>
      </c>
      <c r="E15" s="20">
        <f>SUM(B15:D15)</f>
        <v>0</v>
      </c>
    </row>
    <row r="16" spans="1:5" ht="12.75" customHeight="1">
      <c r="A16" s="13" t="str">
        <f>"   "&amp;Labels!B74</f>
        <v xml:space="preserve">   Convert</v>
      </c>
      <c r="B16" s="72">
        <f>Conversion!B33*B15</f>
        <v>0</v>
      </c>
      <c r="C16" s="72">
        <f>Conversion!C33*C15</f>
        <v>0</v>
      </c>
      <c r="D16" s="72">
        <f>Conversion!D33*D15</f>
        <v>0</v>
      </c>
      <c r="E16" s="20">
        <f>SUM(B16:D16)</f>
        <v>0</v>
      </c>
    </row>
    <row r="17" spans="1:5" ht="12.75" customHeight="1">
      <c r="A17" s="13" t="str">
        <f>"   "&amp;Labels!B75</f>
        <v xml:space="preserve">   End</v>
      </c>
      <c r="B17" s="72">
        <f>B15-B16</f>
        <v>0</v>
      </c>
      <c r="C17" s="72">
        <f>C15-C16</f>
        <v>0</v>
      </c>
      <c r="D17" s="72">
        <f>D15-D16</f>
        <v>0</v>
      </c>
      <c r="E17" s="20">
        <f>SUM(B17:D17)</f>
        <v>0</v>
      </c>
    </row>
    <row r="18" spans="1:5" ht="12.75" customHeight="1">
      <c r="A18" s="4"/>
      <c r="B18" s="43"/>
      <c r="C18" s="43"/>
      <c r="D18" s="43"/>
      <c r="E18" s="4"/>
    </row>
    <row r="19" spans="1:5" ht="12.75" customHeight="1">
      <c r="A19" s="21" t="str">
        <f>Labels!B39</f>
        <v>Units 'in the Money'</v>
      </c>
      <c r="B19" s="64">
        <f>IF('(Other Computations)'!B181&lt;='(Other Computations)'!B12,0,Shares!B37)</f>
        <v>0</v>
      </c>
      <c r="C19" s="64">
        <f>IF('(Other Computations)'!C181&lt;='(Other Computations)'!B12,0,Shares!C37)</f>
        <v>0</v>
      </c>
      <c r="D19" s="64">
        <f>IF('(Other Computations)'!D181&lt;='(Other Computations)'!B12,0,Shares!D37)</f>
        <v>0</v>
      </c>
      <c r="E19" s="65">
        <f>SUM(B19:D19)</f>
        <v>0</v>
      </c>
    </row>
    <row r="22" spans="1:5" ht="12.75" customHeight="1">
      <c r="A22" s="2" t="str">
        <f>"Options"</f>
        <v>Options</v>
      </c>
    </row>
    <row r="23" spans="1:5" ht="12.75" customHeight="1">
      <c r="A23" s="1" t="str">
        <f>" "</f>
        <v xml:space="preserve"> </v>
      </c>
    </row>
    <row r="24" spans="1:5" ht="12.75" customHeight="1">
      <c r="B24" s="6" t="str">
        <f>Labels!B78</f>
        <v>Seed</v>
      </c>
      <c r="C24" s="7" t="str">
        <f>Labels!B79</f>
        <v>Round A</v>
      </c>
      <c r="D24" s="7" t="str">
        <f>Labels!B80</f>
        <v>Exit</v>
      </c>
      <c r="E24" s="17" t="str">
        <f>Labels!C77</f>
        <v>Total</v>
      </c>
    </row>
    <row r="25" spans="1:5" ht="12.75" customHeight="1">
      <c r="A25" s="11" t="str">
        <f>Labels!B37</f>
        <v>Exercise Amt</v>
      </c>
      <c r="B25" s="18"/>
      <c r="C25" s="18"/>
      <c r="D25" s="18"/>
      <c r="E25" s="12"/>
    </row>
    <row r="26" spans="1:5" ht="12.75" customHeight="1">
      <c r="A26" s="13" t="str">
        <f>"   "&amp;Labels!B71</f>
        <v xml:space="preserve">   Start</v>
      </c>
      <c r="B26" s="72"/>
      <c r="C26" s="72"/>
      <c r="D26" s="72"/>
      <c r="E26" s="20"/>
    </row>
    <row r="27" spans="1:5" ht="12.75" customHeight="1">
      <c r="A27" s="69" t="str">
        <f>"      "&amp;Labels!B91</f>
        <v xml:space="preserve">      Series B</v>
      </c>
      <c r="B27" s="74">
        <f>0</f>
        <v>0</v>
      </c>
      <c r="C27" s="74">
        <f>B43</f>
        <v>0</v>
      </c>
      <c r="D27" s="74">
        <f>C43</f>
        <v>0</v>
      </c>
      <c r="E27" s="20">
        <f>SUM(B27:D27)</f>
        <v>0</v>
      </c>
    </row>
    <row r="28" spans="1:5" ht="12.75" customHeight="1">
      <c r="A28" s="69" t="str">
        <f>"      "&amp;Labels!B92</f>
        <v xml:space="preserve">      Series A</v>
      </c>
      <c r="B28" s="74">
        <f>0</f>
        <v>0</v>
      </c>
      <c r="C28" s="74">
        <f>B44</f>
        <v>0</v>
      </c>
      <c r="D28" s="74">
        <f>C44</f>
        <v>0</v>
      </c>
      <c r="E28" s="20">
        <f>SUM(B28:D28)</f>
        <v>0</v>
      </c>
    </row>
    <row r="29" spans="1:5" ht="12.75" customHeight="1">
      <c r="A29" s="13" t="str">
        <f>"      "&amp;Labels!C90</f>
        <v xml:space="preserve">      Subtotal</v>
      </c>
      <c r="B29" s="72">
        <f>SUM(B27:B28)</f>
        <v>0</v>
      </c>
      <c r="C29" s="72">
        <f>SUM(C27:C28)</f>
        <v>0</v>
      </c>
      <c r="D29" s="72">
        <f>SUM(D27:D28)</f>
        <v>0</v>
      </c>
      <c r="E29" s="20">
        <f>SUM(E27:E28)</f>
        <v>0</v>
      </c>
    </row>
    <row r="30" spans="1:5" ht="12.75" customHeight="1">
      <c r="A30" s="13" t="str">
        <f>"   "&amp;Labels!B72</f>
        <v xml:space="preserve">   New Sales</v>
      </c>
      <c r="B30" s="72"/>
      <c r="C30" s="72"/>
      <c r="D30" s="72"/>
      <c r="E30" s="20"/>
    </row>
    <row r="31" spans="1:5" ht="12.75" customHeight="1">
      <c r="A31" s="69" t="str">
        <f>"      "&amp;Labels!B91</f>
        <v xml:space="preserve">      Series B</v>
      </c>
      <c r="B31" s="74">
        <f>'(Other Computations)'!B121*Inputs!B126</f>
        <v>0</v>
      </c>
      <c r="C31" s="74">
        <f>'(Other Computations)'!C121*Inputs!B126</f>
        <v>0</v>
      </c>
      <c r="D31" s="74">
        <f>'(Other Computations)'!D121*Inputs!B126</f>
        <v>0</v>
      </c>
      <c r="E31" s="20">
        <f>SUM(B31:D31)</f>
        <v>0</v>
      </c>
    </row>
    <row r="32" spans="1:5" ht="12.75" customHeight="1">
      <c r="A32" s="69" t="str">
        <f>"      "&amp;Labels!B92</f>
        <v xml:space="preserve">      Series A</v>
      </c>
      <c r="B32" s="74">
        <f>'(Other Computations)'!B122*Inputs!B127</f>
        <v>0</v>
      </c>
      <c r="C32" s="74">
        <f>'(Other Computations)'!C122*Inputs!B127</f>
        <v>0</v>
      </c>
      <c r="D32" s="74">
        <f>'(Other Computations)'!D122*Inputs!B127</f>
        <v>0</v>
      </c>
      <c r="E32" s="20">
        <f>SUM(B32:D32)</f>
        <v>0</v>
      </c>
    </row>
    <row r="33" spans="1:5" ht="12.75" customHeight="1">
      <c r="A33" s="13" t="str">
        <f>"      "&amp;Labels!C90</f>
        <v xml:space="preserve">      Subtotal</v>
      </c>
      <c r="B33" s="72">
        <f>SUM(B31:B32)</f>
        <v>0</v>
      </c>
      <c r="C33" s="72">
        <f>SUM(C31:C32)</f>
        <v>0</v>
      </c>
      <c r="D33" s="72">
        <f>SUM(D31:D32)</f>
        <v>0</v>
      </c>
      <c r="E33" s="20">
        <f>SUM(E31:E32)</f>
        <v>0</v>
      </c>
    </row>
    <row r="34" spans="1:5" ht="12.75" customHeight="1">
      <c r="A34" s="13" t="str">
        <f>"   "&amp;Labels!B73</f>
        <v xml:space="preserve">   Post Sales</v>
      </c>
      <c r="B34" s="72"/>
      <c r="C34" s="72"/>
      <c r="D34" s="72"/>
      <c r="E34" s="20"/>
    </row>
    <row r="35" spans="1:5" ht="12.75" customHeight="1">
      <c r="A35" s="69" t="str">
        <f>"      "&amp;Labels!B91</f>
        <v xml:space="preserve">      Series B</v>
      </c>
      <c r="B35" s="74">
        <f t="shared" ref="B35:D36" si="0">B27+B31</f>
        <v>0</v>
      </c>
      <c r="C35" s="74">
        <f t="shared" si="0"/>
        <v>0</v>
      </c>
      <c r="D35" s="74">
        <f t="shared" si="0"/>
        <v>0</v>
      </c>
      <c r="E35" s="20">
        <f>SUM(B35:D35)</f>
        <v>0</v>
      </c>
    </row>
    <row r="36" spans="1:5" ht="12.75" customHeight="1">
      <c r="A36" s="69" t="str">
        <f>"      "&amp;Labels!B92</f>
        <v xml:space="preserve">      Series A</v>
      </c>
      <c r="B36" s="74">
        <f t="shared" si="0"/>
        <v>0</v>
      </c>
      <c r="C36" s="74">
        <f t="shared" si="0"/>
        <v>0</v>
      </c>
      <c r="D36" s="74">
        <f t="shared" si="0"/>
        <v>0</v>
      </c>
      <c r="E36" s="20">
        <f>SUM(B36:D36)</f>
        <v>0</v>
      </c>
    </row>
    <row r="37" spans="1:5" ht="12.75" customHeight="1">
      <c r="A37" s="13" t="str">
        <f>"      "&amp;Labels!C90</f>
        <v xml:space="preserve">      Subtotal</v>
      </c>
      <c r="B37" s="72">
        <f>SUM(B35:B36)</f>
        <v>0</v>
      </c>
      <c r="C37" s="72">
        <f>SUM(C35:C36)</f>
        <v>0</v>
      </c>
      <c r="D37" s="72">
        <f>SUM(D35:D36)</f>
        <v>0</v>
      </c>
      <c r="E37" s="20">
        <f>SUM(E35:E36)</f>
        <v>0</v>
      </c>
    </row>
    <row r="38" spans="1:5" ht="12.75" customHeight="1">
      <c r="A38" s="13" t="str">
        <f>"   "&amp;Labels!B74</f>
        <v xml:space="preserve">   Convert</v>
      </c>
      <c r="B38" s="72"/>
      <c r="C38" s="72"/>
      <c r="D38" s="72"/>
      <c r="E38" s="20"/>
    </row>
    <row r="39" spans="1:5" ht="12.75" customHeight="1">
      <c r="A39" s="69" t="str">
        <f>"      "&amp;Labels!B91</f>
        <v xml:space="preserve">      Series B</v>
      </c>
      <c r="B39" s="74">
        <f>Conversion!B35*B35</f>
        <v>0</v>
      </c>
      <c r="C39" s="74">
        <f>Conversion!C35*C35</f>
        <v>0</v>
      </c>
      <c r="D39" s="74">
        <f>Conversion!D35*D35</f>
        <v>0</v>
      </c>
      <c r="E39" s="20">
        <f>SUM(B39:D39)</f>
        <v>0</v>
      </c>
    </row>
    <row r="40" spans="1:5" ht="12.75" customHeight="1">
      <c r="A40" s="69" t="str">
        <f>"      "&amp;Labels!B92</f>
        <v xml:space="preserve">      Series A</v>
      </c>
      <c r="B40" s="74">
        <f>Conversion!B36*B36</f>
        <v>0</v>
      </c>
      <c r="C40" s="74">
        <f>Conversion!C36*C36</f>
        <v>0</v>
      </c>
      <c r="D40" s="74">
        <f>Conversion!D36*D36</f>
        <v>0</v>
      </c>
      <c r="E40" s="20">
        <f>SUM(B40:D40)</f>
        <v>0</v>
      </c>
    </row>
    <row r="41" spans="1:5" ht="12.75" customHeight="1">
      <c r="A41" s="13" t="str">
        <f>"      "&amp;Labels!C90</f>
        <v xml:space="preserve">      Subtotal</v>
      </c>
      <c r="B41" s="72">
        <f>SUM(B39:B40)</f>
        <v>0</v>
      </c>
      <c r="C41" s="72">
        <f>SUM(C39:C40)</f>
        <v>0</v>
      </c>
      <c r="D41" s="72">
        <f>SUM(D39:D40)</f>
        <v>0</v>
      </c>
      <c r="E41" s="20">
        <f>SUM(E39:E40)</f>
        <v>0</v>
      </c>
    </row>
    <row r="42" spans="1:5" ht="12.75" customHeight="1">
      <c r="A42" s="13" t="str">
        <f>"   "&amp;Labels!B75</f>
        <v xml:space="preserve">   End</v>
      </c>
      <c r="B42" s="72"/>
      <c r="C42" s="72"/>
      <c r="D42" s="72"/>
      <c r="E42" s="20"/>
    </row>
    <row r="43" spans="1:5" ht="12.75" customHeight="1">
      <c r="A43" s="69" t="str">
        <f>"      "&amp;Labels!B91</f>
        <v xml:space="preserve">      Series B</v>
      </c>
      <c r="B43" s="74">
        <f t="shared" ref="B43:D44" si="1">B35-B39</f>
        <v>0</v>
      </c>
      <c r="C43" s="74">
        <f t="shared" si="1"/>
        <v>0</v>
      </c>
      <c r="D43" s="74">
        <f t="shared" si="1"/>
        <v>0</v>
      </c>
      <c r="E43" s="20">
        <f>SUM(B43:D43)</f>
        <v>0</v>
      </c>
    </row>
    <row r="44" spans="1:5" ht="12.75" customHeight="1">
      <c r="A44" s="69" t="str">
        <f>"      "&amp;Labels!B92</f>
        <v xml:space="preserve">      Series A</v>
      </c>
      <c r="B44" s="74">
        <f t="shared" si="1"/>
        <v>0</v>
      </c>
      <c r="C44" s="74">
        <f t="shared" si="1"/>
        <v>0</v>
      </c>
      <c r="D44" s="74">
        <f t="shared" si="1"/>
        <v>0</v>
      </c>
      <c r="E44" s="20">
        <f>SUM(B44:D44)</f>
        <v>0</v>
      </c>
    </row>
    <row r="45" spans="1:5" ht="12.75" customHeight="1">
      <c r="A45" s="13" t="str">
        <f>"      "&amp;Labels!C90</f>
        <v xml:space="preserve">      Subtotal</v>
      </c>
      <c r="B45" s="72">
        <f>SUM(B43:B44)</f>
        <v>0</v>
      </c>
      <c r="C45" s="72">
        <f>SUM(C43:C44)</f>
        <v>0</v>
      </c>
      <c r="D45" s="72">
        <f>SUM(D43:D44)</f>
        <v>0</v>
      </c>
      <c r="E45" s="20">
        <f>SUM(E43:E44)</f>
        <v>0</v>
      </c>
    </row>
    <row r="46" spans="1:5" ht="12.75" customHeight="1">
      <c r="A46" s="4"/>
      <c r="B46" s="43"/>
      <c r="C46" s="43"/>
      <c r="D46" s="43"/>
      <c r="E46" s="4"/>
    </row>
    <row r="47" spans="1:5" ht="12.75" customHeight="1">
      <c r="A47" s="29" t="str">
        <f>Labels!B39</f>
        <v>Units 'in the Money'</v>
      </c>
      <c r="B47" s="61"/>
      <c r="C47" s="61"/>
      <c r="D47" s="61"/>
      <c r="E47" s="62"/>
    </row>
    <row r="48" spans="1:5" ht="12.75" customHeight="1">
      <c r="A48" s="13" t="str">
        <f>"   "&amp;Labels!B91</f>
        <v xml:space="preserve">   Series B</v>
      </c>
      <c r="B48" s="80">
        <f>IF('(Other Computations)'!B181&lt;=Inputs!B126,0,Shares!B39)</f>
        <v>0</v>
      </c>
      <c r="C48" s="80">
        <f>IF('(Other Computations)'!C181&lt;=Inputs!B126,0,Shares!C39)</f>
        <v>0</v>
      </c>
      <c r="D48" s="80">
        <f>IF('(Other Computations)'!D181&lt;=Inputs!B126,0,Shares!D39)</f>
        <v>0</v>
      </c>
      <c r="E48" s="62">
        <f>SUM(B48:D48)</f>
        <v>0</v>
      </c>
    </row>
    <row r="49" spans="1:5" ht="12.75" customHeight="1">
      <c r="A49" s="13" t="str">
        <f>"   "&amp;Labels!B92</f>
        <v xml:space="preserve">   Series A</v>
      </c>
      <c r="B49" s="80">
        <f>IF('(Other Computations)'!B181&lt;=Inputs!B127,0,Shares!B40)</f>
        <v>0</v>
      </c>
      <c r="C49" s="80">
        <f>IF('(Other Computations)'!C181&lt;=Inputs!B127,0,Shares!C40)</f>
        <v>0</v>
      </c>
      <c r="D49" s="80">
        <f>IF('(Other Computations)'!D181&lt;=Inputs!B127,0,Shares!D40)</f>
        <v>0</v>
      </c>
      <c r="E49" s="62">
        <f>SUM(B49:D49)</f>
        <v>0</v>
      </c>
    </row>
    <row r="50" spans="1:5" ht="12.75" customHeight="1">
      <c r="A50" s="21" t="str">
        <f>"   "&amp;Labels!C90</f>
        <v xml:space="preserve">   Subtotal</v>
      </c>
      <c r="B50" s="64">
        <f>SUM(B48:B49)</f>
        <v>0</v>
      </c>
      <c r="C50" s="64">
        <f>SUM(C48:C49)</f>
        <v>0</v>
      </c>
      <c r="D50" s="64">
        <f>SUM(D48:D49)</f>
        <v>0</v>
      </c>
      <c r="E50" s="65">
        <f>SUM(E48:E49)</f>
        <v>0</v>
      </c>
    </row>
  </sheetData>
  <mergeCells count="5">
    <mergeCell ref="A1:D1"/>
    <mergeCell ref="A2:D2"/>
    <mergeCell ref="A3:D3"/>
    <mergeCell ref="A4:D4"/>
    <mergeCell ref="A5:D5"/>
  </mergeCells>
  <pageMargins left="0.75" right="0.75" top="1" bottom="1" header="0.5" footer="0.5"/>
  <pageSetup paperSize="9" orientation="landscape" horizontalDpi="0" verticalDpi="0" copies="0"/>
  <headerFooter alignWithMargins="0"/>
  <legacyDrawing r:id="rId1"/>
</worksheet>
</file>

<file path=xl/worksheets/sheet8.xml><?xml version="1.0" encoding="utf-8"?>
<worksheet xmlns="http://schemas.openxmlformats.org/spreadsheetml/2006/main" xmlns:r="http://schemas.openxmlformats.org/officeDocument/2006/relationships">
  <sheetPr>
    <outlinePr summaryBelow="0" summaryRight="0"/>
  </sheetPr>
  <dimension ref="A1:E22"/>
  <sheetViews>
    <sheetView workbookViewId="0">
      <selection sqref="A1:D1"/>
    </sheetView>
  </sheetViews>
  <sheetFormatPr defaultRowHeight="12.75" customHeight="1"/>
  <cols>
    <col min="1" max="1" width="19.5703125" customWidth="1"/>
    <col min="2" max="4" width="10.5703125" customWidth="1"/>
    <col min="5" max="5" width="9.42578125" customWidth="1"/>
  </cols>
  <sheetData>
    <row r="1" spans="1:5" ht="12.75" customHeight="1">
      <c r="A1" s="214" t="str">
        <f>"Capitalization Table"</f>
        <v>Capitalization Table</v>
      </c>
      <c r="B1" s="214"/>
      <c r="C1" s="214"/>
      <c r="D1" s="214"/>
    </row>
    <row r="2" spans="1:5" ht="12.75" customHeight="1">
      <c r="A2" s="214" t="str">
        <f>Inputs!B8</f>
        <v>ABC Corp.</v>
      </c>
      <c r="B2" s="214"/>
      <c r="C2" s="214"/>
      <c r="D2" s="214"/>
    </row>
    <row r="3" spans="1:5" ht="12.75" customHeight="1">
      <c r="A3" s="214" t="str">
        <f>IF("Valuation"="(Default Input)","Ignore this sheet in normal use.","Investment Scenario "&amp;1&amp;", Valuation Scenario "&amp;1)</f>
        <v>Investment Scenario 1, Valuation Scenario 1</v>
      </c>
      <c r="B3" s="214"/>
      <c r="C3" s="214"/>
      <c r="D3" s="214"/>
    </row>
    <row r="4" spans="1:5" ht="12.75" customHeight="1">
      <c r="A4" s="214" t="str">
        <f>"Valuation"</f>
        <v>Valuation</v>
      </c>
      <c r="B4" s="214"/>
      <c r="C4" s="214"/>
      <c r="D4" s="214"/>
    </row>
    <row r="5" spans="1:5" ht="12.75" customHeight="1">
      <c r="A5" s="214" t="str">
        <f>""</f>
        <v/>
      </c>
      <c r="B5" s="214"/>
      <c r="C5" s="214"/>
      <c r="D5" s="214"/>
    </row>
    <row r="6" spans="1:5" ht="12.75" customHeight="1">
      <c r="B6" s="6" t="str">
        <f>Labels!B78</f>
        <v>Seed</v>
      </c>
      <c r="C6" s="7" t="str">
        <f>Labels!B79</f>
        <v>Round A</v>
      </c>
      <c r="D6" s="8" t="str">
        <f>Labels!B80</f>
        <v>Exit</v>
      </c>
    </row>
    <row r="7" spans="1:5" ht="12.75" customHeight="1">
      <c r="A7" s="4" t="str">
        <f>Labels!B19</f>
        <v>Event Date</v>
      </c>
      <c r="B7" s="118">
        <f>Investment!B209</f>
        <v>40391</v>
      </c>
      <c r="C7" s="118">
        <f>Investment!C209</f>
        <v>40725</v>
      </c>
      <c r="D7" s="119">
        <f>Investment!D209</f>
        <v>41061</v>
      </c>
    </row>
    <row r="9" spans="1:5" ht="12.75" customHeight="1">
      <c r="A9" s="3" t="str">
        <f>"Start of Round"</f>
        <v>Start of Round</v>
      </c>
    </row>
    <row r="10" spans="1:5" ht="12.75" customHeight="1">
      <c r="A10" s="4" t="str">
        <f>Labels!B21</f>
        <v>Firm Value</v>
      </c>
      <c r="B10" s="120">
        <f>'(Other Computations)'!B197</f>
        <v>1000000</v>
      </c>
      <c r="C10" s="120">
        <f>'(Other Computations)'!B198</f>
        <v>2640000</v>
      </c>
      <c r="D10" s="121">
        <f>'(Other Computations)'!B199</f>
        <v>7220000</v>
      </c>
    </row>
    <row r="12" spans="1:5" ht="12.75" customHeight="1">
      <c r="A12" s="3" t="str">
        <f>"New Investment"</f>
        <v>New Investment</v>
      </c>
    </row>
    <row r="13" spans="1:5" ht="12.75" customHeight="1">
      <c r="A13" s="4" t="str">
        <f>Labels!B28</f>
        <v>New Investment</v>
      </c>
      <c r="B13" s="120">
        <f>SUM('(Other Computations)'!B222,'(Other Computations)'!B225:B227,'(Other Computations)'!B231)</f>
        <v>100000</v>
      </c>
      <c r="C13" s="120">
        <f>SUM('(Other Computations)'!C222,'(Other Computations)'!C225:C227,'(Other Computations)'!C231)</f>
        <v>0</v>
      </c>
      <c r="D13" s="120">
        <f>SUM('(Other Computations)'!D222,'(Other Computations)'!D225:D227,'(Other Computations)'!D231)</f>
        <v>0</v>
      </c>
      <c r="E13" s="48">
        <f>SUM('(Other Computations)'!E222,'(Other Computations)'!E225:E227,'(Other Computations)'!E231)</f>
        <v>100000</v>
      </c>
    </row>
    <row r="15" spans="1:5" ht="12.75" customHeight="1">
      <c r="A15" s="216" t="str">
        <f>"Exercise of Warrants"</f>
        <v>Exercise of Warrants</v>
      </c>
      <c r="B15" s="216"/>
    </row>
    <row r="16" spans="1:5" ht="12.75" customHeight="1">
      <c r="A16" s="4" t="str">
        <f>Labels!B26</f>
        <v>Investment by Origin</v>
      </c>
      <c r="B16" s="120">
        <f>Investment!B105</f>
        <v>0</v>
      </c>
      <c r="C16" s="120">
        <f>Investment!C105</f>
        <v>0</v>
      </c>
      <c r="D16" s="120">
        <f>Investment!D105</f>
        <v>0</v>
      </c>
      <c r="E16" s="48">
        <f>Investment!E105</f>
        <v>0</v>
      </c>
    </row>
    <row r="18" spans="1:5" ht="12.75" customHeight="1">
      <c r="A18" s="216" t="str">
        <f>"Exercise of Options"</f>
        <v>Exercise of Options</v>
      </c>
      <c r="B18" s="216"/>
    </row>
    <row r="19" spans="1:5" ht="12.75" customHeight="1">
      <c r="A19" s="4" t="str">
        <f>Labels!B26</f>
        <v>Investment by Origin</v>
      </c>
      <c r="B19" s="120">
        <f>Investment!B109</f>
        <v>0</v>
      </c>
      <c r="C19" s="120">
        <f>Investment!C109</f>
        <v>0</v>
      </c>
      <c r="D19" s="120">
        <f>Investment!D109</f>
        <v>0</v>
      </c>
      <c r="E19" s="48">
        <f>Investment!E109</f>
        <v>0</v>
      </c>
    </row>
    <row r="21" spans="1:5" ht="12.75" customHeight="1">
      <c r="A21" s="3" t="str">
        <f>"End of Round"</f>
        <v>End of Round</v>
      </c>
    </row>
    <row r="22" spans="1:5" ht="12.75" customHeight="1">
      <c r="A22" s="4" t="str">
        <f>Labels!B21</f>
        <v>Firm Value</v>
      </c>
      <c r="B22" s="120">
        <f>'(Other Computations)'!B192+'(Other Computations)'!B193</f>
        <v>1100000</v>
      </c>
      <c r="C22" s="120">
        <f>'(Other Computations)'!C192+'(Other Computations)'!C193</f>
        <v>2640000</v>
      </c>
      <c r="D22" s="121">
        <f>'(Other Computations)'!D192+'(Other Computations)'!D193</f>
        <v>7220000</v>
      </c>
    </row>
  </sheetData>
  <mergeCells count="7">
    <mergeCell ref="A18:B18"/>
    <mergeCell ref="A1:D1"/>
    <mergeCell ref="A2:D2"/>
    <mergeCell ref="A3:D3"/>
    <mergeCell ref="A4:D4"/>
    <mergeCell ref="A5:D5"/>
    <mergeCell ref="A15:B15"/>
  </mergeCells>
  <pageMargins left="0.75" right="0.75" top="1" bottom="1" header="0.5" footer="0.5"/>
  <pageSetup paperSize="9" orientation="landscape" horizontalDpi="0" verticalDpi="0" copies="0"/>
  <headerFooter alignWithMargins="0"/>
  <legacyDrawing r:id="rId1"/>
</worksheet>
</file>

<file path=xl/worksheets/sheet9.xml><?xml version="1.0" encoding="utf-8"?>
<worksheet xmlns="http://schemas.openxmlformats.org/spreadsheetml/2006/main" xmlns:r="http://schemas.openxmlformats.org/officeDocument/2006/relationships">
  <sheetPr>
    <outlinePr summaryBelow="0" summaryRight="0"/>
  </sheetPr>
  <dimension ref="A1:T86"/>
  <sheetViews>
    <sheetView workbookViewId="0">
      <selection sqref="A1:D1"/>
    </sheetView>
  </sheetViews>
  <sheetFormatPr defaultRowHeight="12.75" customHeight="1" outlineLevelRow="1"/>
  <cols>
    <col min="1" max="1" width="21.140625" customWidth="1"/>
    <col min="2" max="4" width="9.5703125" customWidth="1"/>
    <col min="5" max="5" width="9.42578125" customWidth="1"/>
    <col min="6" max="6" width="21.140625" customWidth="1"/>
    <col min="7" max="9" width="9.5703125" customWidth="1"/>
    <col min="10" max="10" width="9.42578125" customWidth="1"/>
    <col min="11" max="11" width="12.28515625" customWidth="1"/>
    <col min="12" max="14" width="9.5703125" customWidth="1"/>
    <col min="15" max="15" width="6.42578125" customWidth="1"/>
    <col min="16" max="16" width="12.28515625" customWidth="1"/>
    <col min="17" max="19" width="9.5703125" customWidth="1"/>
    <col min="20" max="20" width="6.42578125" customWidth="1"/>
  </cols>
  <sheetData>
    <row r="1" spans="1:20" ht="12.75" customHeight="1">
      <c r="A1" s="214" t="str">
        <f>"Capitalization Table"</f>
        <v>Capitalization Table</v>
      </c>
      <c r="B1" s="214"/>
      <c r="C1" s="214"/>
      <c r="D1" s="214"/>
    </row>
    <row r="2" spans="1:20" ht="12.75" customHeight="1">
      <c r="A2" s="214" t="str">
        <f>Inputs!B8</f>
        <v>ABC Corp.</v>
      </c>
      <c r="B2" s="214"/>
      <c r="C2" s="214"/>
      <c r="D2" s="214"/>
    </row>
    <row r="3" spans="1:20" ht="12.75" customHeight="1">
      <c r="A3" s="214" t="str">
        <f>IF("Payout"="(Default Input)","Ignore this sheet in normal use.","Investment Scenario "&amp;1&amp;", Valuation Scenario "&amp;1)</f>
        <v>Investment Scenario 1, Valuation Scenario 1</v>
      </c>
      <c r="B3" s="214"/>
      <c r="C3" s="214"/>
      <c r="D3" s="214"/>
    </row>
    <row r="4" spans="1:20" ht="12.75" customHeight="1">
      <c r="A4" s="214" t="str">
        <f>"Payout"</f>
        <v>Payout</v>
      </c>
      <c r="B4" s="214"/>
      <c r="C4" s="214"/>
      <c r="D4" s="214"/>
    </row>
    <row r="5" spans="1:20" ht="12.75" customHeight="1">
      <c r="A5" s="214" t="str">
        <f>""</f>
        <v/>
      </c>
      <c r="B5" s="214"/>
      <c r="C5" s="214"/>
      <c r="D5" s="214"/>
    </row>
    <row r="6" spans="1:20" ht="12.75" customHeight="1">
      <c r="B6" s="6" t="str">
        <f>Labels!B78</f>
        <v>Seed</v>
      </c>
      <c r="C6" s="7" t="str">
        <f>Labels!B79</f>
        <v>Round A</v>
      </c>
      <c r="D6" s="7" t="str">
        <f>Labels!B80</f>
        <v>Exit</v>
      </c>
      <c r="E6" s="17" t="str">
        <f>Labels!C77</f>
        <v>Total</v>
      </c>
      <c r="G6" s="6" t="str">
        <f>Labels!B78</f>
        <v>Seed</v>
      </c>
      <c r="H6" s="7" t="str">
        <f>Labels!B79</f>
        <v>Round A</v>
      </c>
      <c r="I6" s="7" t="str">
        <f>Labels!B80</f>
        <v>Exit</v>
      </c>
      <c r="J6" s="17" t="str">
        <f>Labels!C77</f>
        <v>Total</v>
      </c>
      <c r="L6" s="6" t="str">
        <f>Labels!B78</f>
        <v>Seed</v>
      </c>
      <c r="M6" s="7" t="str">
        <f>Labels!B79</f>
        <v>Round A</v>
      </c>
      <c r="N6" s="7" t="str">
        <f>Labels!B80</f>
        <v>Exit</v>
      </c>
      <c r="O6" s="17" t="str">
        <f>Labels!C77</f>
        <v>Total</v>
      </c>
      <c r="Q6" s="6" t="str">
        <f>Labels!B78</f>
        <v>Seed</v>
      </c>
      <c r="R6" s="7" t="str">
        <f>Labels!B79</f>
        <v>Round A</v>
      </c>
      <c r="S6" s="7" t="str">
        <f>Labels!B80</f>
        <v>Exit</v>
      </c>
      <c r="T6" s="17" t="str">
        <f>Labels!C77</f>
        <v>Total</v>
      </c>
    </row>
    <row r="7" spans="1:20" ht="12.75" customHeight="1">
      <c r="A7" s="11" t="str">
        <f>Labels!B46</f>
        <v>Payout Pool</v>
      </c>
      <c r="B7" s="18"/>
      <c r="C7" s="18"/>
      <c r="D7" s="18"/>
      <c r="E7" s="12"/>
      <c r="F7" s="11" t="str">
        <f>Labels!B34</f>
        <v>Liquidation Preference</v>
      </c>
      <c r="G7" s="18"/>
      <c r="H7" s="18"/>
      <c r="I7" s="18"/>
      <c r="J7" s="12"/>
      <c r="K7" s="11" t="str">
        <f>Labels!B44</f>
        <v>Payout</v>
      </c>
      <c r="L7" s="18"/>
      <c r="M7" s="18"/>
      <c r="N7" s="18"/>
      <c r="O7" s="12"/>
      <c r="P7" s="11" t="str">
        <f>Labels!B45</f>
        <v>Payout %</v>
      </c>
      <c r="Q7" s="90"/>
      <c r="R7" s="90"/>
      <c r="S7" s="90"/>
      <c r="T7" s="66"/>
    </row>
    <row r="8" spans="1:20" ht="12.75" customHeight="1">
      <c r="A8" s="13" t="str">
        <f>"   "&amp;Labels!B83</f>
        <v xml:space="preserve">   Conv Note</v>
      </c>
      <c r="B8" s="72"/>
      <c r="C8" s="72"/>
      <c r="D8" s="72"/>
      <c r="E8" s="20"/>
      <c r="F8" s="13" t="str">
        <f>"   "&amp;Labels!B83</f>
        <v xml:space="preserve">   Conv Note</v>
      </c>
      <c r="G8" s="72"/>
      <c r="H8" s="72"/>
      <c r="I8" s="72"/>
      <c r="J8" s="20"/>
      <c r="K8" s="13" t="str">
        <f>"   "&amp;Labels!B83</f>
        <v xml:space="preserve">   Conv Note</v>
      </c>
      <c r="L8" s="72"/>
      <c r="M8" s="72"/>
      <c r="N8" s="72"/>
      <c r="O8" s="20"/>
      <c r="P8" s="13" t="str">
        <f>"   "&amp;Labels!B83</f>
        <v xml:space="preserve">   Conv Note</v>
      </c>
      <c r="Q8" s="92"/>
      <c r="R8" s="92"/>
      <c r="S8" s="92"/>
      <c r="T8" s="68"/>
    </row>
    <row r="9" spans="1:20" ht="12.75" customHeight="1">
      <c r="A9" s="69" t="str">
        <f>"      "&amp;Labels!B84</f>
        <v xml:space="preserve">      Series B</v>
      </c>
      <c r="B9" s="74">
        <f>'(Other Computations)'!B197+Investment!B241+'(Other Computations)'!B93</f>
        <v>1100000</v>
      </c>
      <c r="C9" s="74">
        <f>'(Other Computations)'!B198+Investment!C241+'(Other Computations)'!C93</f>
        <v>2640000</v>
      </c>
      <c r="D9" s="74">
        <f>'(Other Computations)'!B199+Investment!D241+'(Other Computations)'!D93</f>
        <v>7220000</v>
      </c>
      <c r="E9" s="20" t="str">
        <f>""</f>
        <v/>
      </c>
      <c r="F9" s="69" t="str">
        <f>"      "&amp;Labels!B84</f>
        <v xml:space="preserve">      Series B</v>
      </c>
      <c r="G9" s="74">
        <f>MAX(0,0+(Investment!B290+Investment!B229-Investment!B259)*Inputs!E38)</f>
        <v>0</v>
      </c>
      <c r="H9" s="74">
        <f>MAX(0,G9+(Investment!C290+Investment!C229-Investment!C259)*Inputs!E38)</f>
        <v>0</v>
      </c>
      <c r="I9" s="74">
        <f>MAX(0,H9+(Investment!D290+Investment!D229-Investment!D259)*Inputs!E38)</f>
        <v>0</v>
      </c>
      <c r="J9" s="20">
        <f>SUM(G9:I9)</f>
        <v>0</v>
      </c>
      <c r="K9" s="69" t="str">
        <f>"      "&amp;Labels!B84</f>
        <v xml:space="preserve">      Series B</v>
      </c>
      <c r="L9" s="74">
        <f>MIN(B9,MAX(G9,Investment!B274/Prices!B34*'(Other Computations)'!B181))</f>
        <v>0</v>
      </c>
      <c r="M9" s="74">
        <f>MIN(C9,MAX(H9,Investment!C274/Prices!C34*'(Other Computations)'!C181))</f>
        <v>0</v>
      </c>
      <c r="N9" s="74">
        <f>MIN(D9,MAX(I9,Investment!D274/Prices!D34*'(Other Computations)'!D181))</f>
        <v>0</v>
      </c>
      <c r="O9" s="20" t="str">
        <f>""</f>
        <v/>
      </c>
      <c r="P9" s="69" t="str">
        <f>"      "&amp;Labels!B84</f>
        <v xml:space="preserve">      Series B</v>
      </c>
      <c r="Q9" s="122">
        <f>L9/L21</f>
        <v>0</v>
      </c>
      <c r="R9" s="122">
        <f>M9/M21</f>
        <v>0</v>
      </c>
      <c r="S9" s="122">
        <f>N9/N21</f>
        <v>0</v>
      </c>
      <c r="T9" s="68" t="str">
        <f>""</f>
        <v/>
      </c>
    </row>
    <row r="10" spans="1:20" ht="12.75" customHeight="1">
      <c r="A10" s="69" t="str">
        <f>"      "&amp;Labels!B85</f>
        <v xml:space="preserve">      Series A</v>
      </c>
      <c r="B10" s="74">
        <f>B9-L9</f>
        <v>1100000</v>
      </c>
      <c r="C10" s="74">
        <f>C9-M9</f>
        <v>2640000</v>
      </c>
      <c r="D10" s="74">
        <f>D9-N9</f>
        <v>7220000</v>
      </c>
      <c r="E10" s="20" t="str">
        <f>""</f>
        <v/>
      </c>
      <c r="F10" s="69" t="str">
        <f>"      "&amp;Labels!B85</f>
        <v xml:space="preserve">      Series A</v>
      </c>
      <c r="G10" s="74">
        <f>MAX(0,0+(Investment!B291+Investment!B230-Investment!B260)*Inputs!E39)</f>
        <v>0</v>
      </c>
      <c r="H10" s="74">
        <f>MAX(0,G10+(Investment!C291+Investment!C230-Investment!C260)*Inputs!E39)</f>
        <v>0</v>
      </c>
      <c r="I10" s="74">
        <f>MAX(0,H10+(Investment!D291+Investment!D230-Investment!D260)*Inputs!E39)</f>
        <v>0</v>
      </c>
      <c r="J10" s="20">
        <f>SUM(G10:I10)</f>
        <v>0</v>
      </c>
      <c r="K10" s="69" t="str">
        <f>"      "&amp;Labels!B85</f>
        <v xml:space="preserve">      Series A</v>
      </c>
      <c r="L10" s="74">
        <f>MIN(B10,MAX(G10,Investment!B275/Prices!B35*'(Other Computations)'!B181))</f>
        <v>0</v>
      </c>
      <c r="M10" s="74">
        <f>MIN(C10,MAX(H10,Investment!C275/Prices!C35*'(Other Computations)'!C181))</f>
        <v>0</v>
      </c>
      <c r="N10" s="74">
        <f>MIN(D10,MAX(I10,Investment!D275/Prices!D35*'(Other Computations)'!D181))</f>
        <v>0</v>
      </c>
      <c r="O10" s="20" t="str">
        <f>""</f>
        <v/>
      </c>
      <c r="P10" s="69" t="str">
        <f>"      "&amp;Labels!B85</f>
        <v xml:space="preserve">      Series A</v>
      </c>
      <c r="Q10" s="122">
        <f>L10/L21</f>
        <v>0</v>
      </c>
      <c r="R10" s="122">
        <f>M10/M21</f>
        <v>0</v>
      </c>
      <c r="S10" s="122">
        <f>N10/N21</f>
        <v>0</v>
      </c>
      <c r="T10" s="68" t="str">
        <f>""</f>
        <v/>
      </c>
    </row>
    <row r="11" spans="1:20" ht="12.75" customHeight="1">
      <c r="A11" s="13" t="str">
        <f>"      "&amp;Labels!C83</f>
        <v xml:space="preserve">      Subtotal</v>
      </c>
      <c r="B11" s="72" t="str">
        <f>""</f>
        <v/>
      </c>
      <c r="C11" s="72" t="str">
        <f>""</f>
        <v/>
      </c>
      <c r="D11" s="72" t="str">
        <f>""</f>
        <v/>
      </c>
      <c r="E11" s="20" t="str">
        <f>""</f>
        <v/>
      </c>
      <c r="F11" s="13" t="str">
        <f>"      "&amp;Labels!C83</f>
        <v xml:space="preserve">      Subtotal</v>
      </c>
      <c r="G11" s="72">
        <f>SUM(G9:G10)</f>
        <v>0</v>
      </c>
      <c r="H11" s="72">
        <f>SUM(H9:H10)</f>
        <v>0</v>
      </c>
      <c r="I11" s="72">
        <f>SUM(I9:I10)</f>
        <v>0</v>
      </c>
      <c r="J11" s="20">
        <f>SUM(J9:J10)</f>
        <v>0</v>
      </c>
      <c r="K11" s="13" t="str">
        <f>"      "&amp;Labels!C83</f>
        <v xml:space="preserve">      Subtotal</v>
      </c>
      <c r="L11" s="72">
        <f>SUM(L9:L10)</f>
        <v>0</v>
      </c>
      <c r="M11" s="72">
        <f>SUM(M9:M10)</f>
        <v>0</v>
      </c>
      <c r="N11" s="72">
        <f>SUM(N9:N10)</f>
        <v>0</v>
      </c>
      <c r="O11" s="20" t="str">
        <f>""</f>
        <v/>
      </c>
      <c r="P11" s="13" t="str">
        <f>"      "&amp;Labels!C83</f>
        <v xml:space="preserve">      Subtotal</v>
      </c>
      <c r="Q11" s="92">
        <f>L11/L21</f>
        <v>0</v>
      </c>
      <c r="R11" s="92">
        <f>M11/M21</f>
        <v>0</v>
      </c>
      <c r="S11" s="92">
        <f>N11/N21</f>
        <v>0</v>
      </c>
      <c r="T11" s="68" t="str">
        <f>""</f>
        <v/>
      </c>
    </row>
    <row r="12" spans="1:20" ht="12.75" customHeight="1">
      <c r="A12" s="13" t="str">
        <f>"   "&amp;Labels!B86</f>
        <v xml:space="preserve">   Preferred</v>
      </c>
      <c r="B12" s="72"/>
      <c r="C12" s="72"/>
      <c r="D12" s="72"/>
      <c r="E12" s="20"/>
      <c r="F12" s="13" t="str">
        <f>"   "&amp;Labels!B86</f>
        <v xml:space="preserve">   Preferred</v>
      </c>
      <c r="G12" s="72"/>
      <c r="H12" s="72"/>
      <c r="I12" s="72"/>
      <c r="J12" s="20"/>
      <c r="K12" s="13" t="str">
        <f>"   "&amp;Labels!B86</f>
        <v xml:space="preserve">   Preferred</v>
      </c>
      <c r="L12" s="72"/>
      <c r="M12" s="72"/>
      <c r="N12" s="72"/>
      <c r="O12" s="20"/>
      <c r="P12" s="13" t="str">
        <f>"   "&amp;Labels!B86</f>
        <v xml:space="preserve">   Preferred</v>
      </c>
      <c r="Q12" s="92"/>
      <c r="R12" s="92"/>
      <c r="S12" s="92"/>
      <c r="T12" s="68"/>
    </row>
    <row r="13" spans="1:20" ht="12.75" customHeight="1">
      <c r="A13" s="69" t="str">
        <f>"      "&amp;Labels!B87</f>
        <v xml:space="preserve">      Series A</v>
      </c>
      <c r="B13" s="74">
        <f>B10-L10</f>
        <v>1100000</v>
      </c>
      <c r="C13" s="74">
        <f>C10-M10</f>
        <v>2640000</v>
      </c>
      <c r="D13" s="74">
        <f>D10-N10</f>
        <v>7220000</v>
      </c>
      <c r="E13" s="20" t="str">
        <f>""</f>
        <v/>
      </c>
      <c r="F13" s="69" t="str">
        <f>"      "&amp;Labels!B87</f>
        <v xml:space="preserve">      Series A</v>
      </c>
      <c r="G13" s="74">
        <f>MAX(0,0+(Investment!B294+Investment!B233-Investment!B263)*Inputs!B75)</f>
        <v>0</v>
      </c>
      <c r="H13" s="74">
        <f>MAX(0,G13+(Investment!C294+Investment!C233-Investment!C263)*Inputs!B75)</f>
        <v>0</v>
      </c>
      <c r="I13" s="74">
        <f>MAX(0,H13+(Investment!D294+Investment!D233-Investment!D263)*Inputs!B75)</f>
        <v>0</v>
      </c>
      <c r="J13" s="20">
        <f>SUM(G13:I13)</f>
        <v>0</v>
      </c>
      <c r="K13" s="69" t="str">
        <f>"      "&amp;Labels!B87</f>
        <v xml:space="preserve">      Series A</v>
      </c>
      <c r="L13" s="74">
        <f>MIN(B13,MAX(G13,Shares!B34*'(Other Computations)'!B181))</f>
        <v>0</v>
      </c>
      <c r="M13" s="74">
        <f>MIN(C13,MAX(H13,Shares!C34*'(Other Computations)'!C181))</f>
        <v>0</v>
      </c>
      <c r="N13" s="74">
        <f>MIN(D13,MAX(I13,Shares!D34*'(Other Computations)'!D181))</f>
        <v>0</v>
      </c>
      <c r="O13" s="20" t="str">
        <f>""</f>
        <v/>
      </c>
      <c r="P13" s="69" t="str">
        <f>"      "&amp;Labels!B87</f>
        <v xml:space="preserve">      Series A</v>
      </c>
      <c r="Q13" s="122">
        <f>L13/L21</f>
        <v>0</v>
      </c>
      <c r="R13" s="122">
        <f>M13/M21</f>
        <v>0</v>
      </c>
      <c r="S13" s="122">
        <f>N13/N21</f>
        <v>0</v>
      </c>
      <c r="T13" s="68" t="str">
        <f>""</f>
        <v/>
      </c>
    </row>
    <row r="14" spans="1:20" ht="12.75" customHeight="1">
      <c r="A14" s="13" t="str">
        <f>"      "&amp;Labels!C86</f>
        <v xml:space="preserve">      Subtotal</v>
      </c>
      <c r="B14" s="72" t="str">
        <f>""</f>
        <v/>
      </c>
      <c r="C14" s="72" t="str">
        <f>""</f>
        <v/>
      </c>
      <c r="D14" s="72" t="str">
        <f>""</f>
        <v/>
      </c>
      <c r="E14" s="20" t="str">
        <f>""</f>
        <v/>
      </c>
      <c r="F14" s="13" t="str">
        <f>"      "&amp;Labels!C86</f>
        <v xml:space="preserve">      Subtotal</v>
      </c>
      <c r="G14" s="72">
        <f>G13</f>
        <v>0</v>
      </c>
      <c r="H14" s="72">
        <f>H13</f>
        <v>0</v>
      </c>
      <c r="I14" s="72">
        <f>I13</f>
        <v>0</v>
      </c>
      <c r="J14" s="20">
        <f>J13</f>
        <v>0</v>
      </c>
      <c r="K14" s="13" t="str">
        <f>"      "&amp;Labels!C86</f>
        <v xml:space="preserve">      Subtotal</v>
      </c>
      <c r="L14" s="72">
        <f>SUM(L13)</f>
        <v>0</v>
      </c>
      <c r="M14" s="72">
        <f>SUM(M13)</f>
        <v>0</v>
      </c>
      <c r="N14" s="72">
        <f>SUM(N13)</f>
        <v>0</v>
      </c>
      <c r="O14" s="20" t="str">
        <f>""</f>
        <v/>
      </c>
      <c r="P14" s="13" t="str">
        <f>"      "&amp;Labels!C86</f>
        <v xml:space="preserve">      Subtotal</v>
      </c>
      <c r="Q14" s="92">
        <f>L14/L21</f>
        <v>0</v>
      </c>
      <c r="R14" s="92">
        <f>M14/M21</f>
        <v>0</v>
      </c>
      <c r="S14" s="92">
        <f>N14/N21</f>
        <v>0</v>
      </c>
      <c r="T14" s="68" t="str">
        <f>""</f>
        <v/>
      </c>
    </row>
    <row r="15" spans="1:20" ht="12.75" customHeight="1">
      <c r="A15" s="13" t="str">
        <f>"   "&amp;Labels!B88</f>
        <v xml:space="preserve">   Common</v>
      </c>
      <c r="B15" s="72">
        <f>B13-L13</f>
        <v>1100000</v>
      </c>
      <c r="C15" s="72">
        <f>C13-M13</f>
        <v>2640000</v>
      </c>
      <c r="D15" s="72">
        <f>D13-N13</f>
        <v>7220000</v>
      </c>
      <c r="E15" s="20" t="str">
        <f>""</f>
        <v/>
      </c>
      <c r="F15" s="13" t="str">
        <f>"   "&amp;Labels!B88</f>
        <v xml:space="preserve">   Common</v>
      </c>
      <c r="G15" s="72">
        <f>MAX(0,0+(Investment!B296+Investment!B235-Investment!B265)*Boneyard!F25)</f>
        <v>0</v>
      </c>
      <c r="H15" s="72">
        <f>MAX(0,G15+(Investment!C296+Investment!C235-Investment!C265)*Boneyard!F25)</f>
        <v>0</v>
      </c>
      <c r="I15" s="72">
        <f>MAX(0,H15+(Investment!D296+Investment!D235-Investment!D265)*Boneyard!F25)</f>
        <v>0</v>
      </c>
      <c r="J15" s="20">
        <f>SUM(G15:I15)</f>
        <v>0</v>
      </c>
      <c r="K15" s="13" t="str">
        <f>"   "&amp;Labels!B88</f>
        <v xml:space="preserve">   Common</v>
      </c>
      <c r="L15" s="72">
        <f>Shares!B36*B15/(Shares!B36+'(Other Computations)'!B292)</f>
        <v>1100000</v>
      </c>
      <c r="M15" s="72">
        <f>Shares!C36*C15/(Shares!C36+'(Other Computations)'!C292)</f>
        <v>2640000</v>
      </c>
      <c r="N15" s="72">
        <f>Shares!D36*D15/(Shares!D36+'(Other Computations)'!D292)</f>
        <v>7220000</v>
      </c>
      <c r="O15" s="20" t="str">
        <f>""</f>
        <v/>
      </c>
      <c r="P15" s="13" t="str">
        <f>"   "&amp;Labels!B88</f>
        <v xml:space="preserve">   Common</v>
      </c>
      <c r="Q15" s="92">
        <f>L15/L21</f>
        <v>1</v>
      </c>
      <c r="R15" s="92">
        <f>M15/M21</f>
        <v>1</v>
      </c>
      <c r="S15" s="92">
        <f>N15/N21</f>
        <v>1</v>
      </c>
      <c r="T15" s="68" t="str">
        <f>""</f>
        <v/>
      </c>
    </row>
    <row r="16" spans="1:20" ht="12.75" customHeight="1">
      <c r="A16" s="13" t="str">
        <f>"   "&amp;Labels!B89</f>
        <v xml:space="preserve">   Warrant</v>
      </c>
      <c r="B16" s="72">
        <f>0/3</f>
        <v>0</v>
      </c>
      <c r="C16" s="72">
        <f>0/3</f>
        <v>0</v>
      </c>
      <c r="D16" s="72">
        <f>0/3</f>
        <v>0</v>
      </c>
      <c r="E16" s="20" t="str">
        <f>""</f>
        <v/>
      </c>
      <c r="F16" s="13" t="str">
        <f>"   "&amp;Labels!B89</f>
        <v xml:space="preserve">   Warrant</v>
      </c>
      <c r="G16" s="72">
        <f>MAX(0,0+(Investment!B297+Investment!B236-Investment!B266)*Boneyard!F26)</f>
        <v>0</v>
      </c>
      <c r="H16" s="72">
        <f>MAX(0,G16+(Investment!C297+Investment!C236-Investment!C266)*Boneyard!F26)</f>
        <v>0</v>
      </c>
      <c r="I16" s="72">
        <f>MAX(0,H16+(Investment!D297+Investment!D236-Investment!D266)*Boneyard!F26)</f>
        <v>0</v>
      </c>
      <c r="J16" s="20">
        <f>SUM(G16:I16)</f>
        <v>0</v>
      </c>
      <c r="K16" s="13" t="str">
        <f>"   "&amp;Labels!B89</f>
        <v xml:space="preserve">   Warrant</v>
      </c>
      <c r="L16" s="72">
        <f>Options!B19/(Shares!B36+'(Other Computations)'!B292)*B15</f>
        <v>0</v>
      </c>
      <c r="M16" s="72">
        <f>Options!C19/(Shares!C36+'(Other Computations)'!C292)*C15</f>
        <v>0</v>
      </c>
      <c r="N16" s="72">
        <f>Options!D19/(Shares!D36+'(Other Computations)'!D292)*D15</f>
        <v>0</v>
      </c>
      <c r="O16" s="20" t="str">
        <f>""</f>
        <v/>
      </c>
      <c r="P16" s="13" t="str">
        <f>"   "&amp;Labels!B89</f>
        <v xml:space="preserve">   Warrant</v>
      </c>
      <c r="Q16" s="92">
        <f>L16/L21</f>
        <v>0</v>
      </c>
      <c r="R16" s="92">
        <f>M16/M21</f>
        <v>0</v>
      </c>
      <c r="S16" s="92">
        <f>N16/N21</f>
        <v>0</v>
      </c>
      <c r="T16" s="68" t="str">
        <f>""</f>
        <v/>
      </c>
    </row>
    <row r="17" spans="1:20" ht="12.75" customHeight="1">
      <c r="A17" s="13" t="str">
        <f>"   "&amp;Labels!B90</f>
        <v xml:space="preserve">   Option</v>
      </c>
      <c r="B17" s="72"/>
      <c r="C17" s="72"/>
      <c r="D17" s="72"/>
      <c r="E17" s="20"/>
      <c r="F17" s="13" t="str">
        <f>"   "&amp;Labels!B90</f>
        <v xml:space="preserve">   Option</v>
      </c>
      <c r="G17" s="72"/>
      <c r="H17" s="72"/>
      <c r="I17" s="72"/>
      <c r="J17" s="20"/>
      <c r="K17" s="13" t="str">
        <f>"   "&amp;Labels!B90</f>
        <v xml:space="preserve">   Option</v>
      </c>
      <c r="L17" s="72"/>
      <c r="M17" s="72"/>
      <c r="N17" s="72"/>
      <c r="O17" s="20"/>
      <c r="P17" s="13" t="str">
        <f>"   "&amp;Labels!B90</f>
        <v xml:space="preserve">   Option</v>
      </c>
      <c r="Q17" s="92"/>
      <c r="R17" s="92"/>
      <c r="S17" s="92"/>
      <c r="T17" s="68"/>
    </row>
    <row r="18" spans="1:20" ht="12.75" customHeight="1">
      <c r="A18" s="69" t="str">
        <f>"      "&amp;Labels!B91</f>
        <v xml:space="preserve">      Series B</v>
      </c>
      <c r="B18" s="74">
        <f t="shared" ref="B18:D19" si="0">0/3/2</f>
        <v>0</v>
      </c>
      <c r="C18" s="74">
        <f t="shared" si="0"/>
        <v>0</v>
      </c>
      <c r="D18" s="74">
        <f t="shared" si="0"/>
        <v>0</v>
      </c>
      <c r="E18" s="20" t="str">
        <f>""</f>
        <v/>
      </c>
      <c r="F18" s="69" t="str">
        <f>"      "&amp;Labels!B91</f>
        <v xml:space="preserve">      Series B</v>
      </c>
      <c r="G18" s="74">
        <f>MAX(0,0+(Investment!B299+Investment!B238-Investment!B268)*Boneyard!F28)</f>
        <v>0</v>
      </c>
      <c r="H18" s="74">
        <f>MAX(0,G18+(Investment!C299+Investment!C238-Investment!C268)*Boneyard!F28)</f>
        <v>0</v>
      </c>
      <c r="I18" s="74">
        <f>MAX(0,H18+(Investment!D299+Investment!D238-Investment!D268)*Boneyard!F28)</f>
        <v>0</v>
      </c>
      <c r="J18" s="20">
        <f>SUM(G18:I18)</f>
        <v>0</v>
      </c>
      <c r="K18" s="69" t="str">
        <f>"      "&amp;Labels!B91</f>
        <v xml:space="preserve">      Series B</v>
      </c>
      <c r="L18" s="74">
        <f>Options!B48/(Shares!B36+'(Other Computations)'!B292)*B15</f>
        <v>0</v>
      </c>
      <c r="M18" s="74">
        <f>Options!C48/(Shares!C36+'(Other Computations)'!C292)*C15</f>
        <v>0</v>
      </c>
      <c r="N18" s="74">
        <f>Options!D48/(Shares!D36+'(Other Computations)'!D292)*D15</f>
        <v>0</v>
      </c>
      <c r="O18" s="20" t="str">
        <f>""</f>
        <v/>
      </c>
      <c r="P18" s="69" t="str">
        <f>"      "&amp;Labels!B91</f>
        <v xml:space="preserve">      Series B</v>
      </c>
      <c r="Q18" s="122">
        <f>L18/L21</f>
        <v>0</v>
      </c>
      <c r="R18" s="122">
        <f>M18/M21</f>
        <v>0</v>
      </c>
      <c r="S18" s="122">
        <f>N18/N21</f>
        <v>0</v>
      </c>
      <c r="T18" s="68" t="str">
        <f>""</f>
        <v/>
      </c>
    </row>
    <row r="19" spans="1:20" ht="12.75" customHeight="1">
      <c r="A19" s="69" t="str">
        <f>"      "&amp;Labels!B92</f>
        <v xml:space="preserve">      Series A</v>
      </c>
      <c r="B19" s="74">
        <f t="shared" si="0"/>
        <v>0</v>
      </c>
      <c r="C19" s="74">
        <f t="shared" si="0"/>
        <v>0</v>
      </c>
      <c r="D19" s="74">
        <f t="shared" si="0"/>
        <v>0</v>
      </c>
      <c r="E19" s="20" t="str">
        <f>""</f>
        <v/>
      </c>
      <c r="F19" s="69" t="str">
        <f>"      "&amp;Labels!B92</f>
        <v xml:space="preserve">      Series A</v>
      </c>
      <c r="G19" s="74">
        <f>MAX(0,0+(Investment!B300+Investment!B239-Investment!B269)*Boneyard!F29)</f>
        <v>0</v>
      </c>
      <c r="H19" s="74">
        <f>MAX(0,G19+(Investment!C300+Investment!C239-Investment!C269)*Boneyard!F29)</f>
        <v>0</v>
      </c>
      <c r="I19" s="74">
        <f>MAX(0,H19+(Investment!D300+Investment!D239-Investment!D269)*Boneyard!F29)</f>
        <v>0</v>
      </c>
      <c r="J19" s="20">
        <f>SUM(G19:I19)</f>
        <v>0</v>
      </c>
      <c r="K19" s="69" t="str">
        <f>"      "&amp;Labels!B92</f>
        <v xml:space="preserve">      Series A</v>
      </c>
      <c r="L19" s="74">
        <f>Options!B49/(Shares!B36+'(Other Computations)'!B292)*B15</f>
        <v>0</v>
      </c>
      <c r="M19" s="74">
        <f>Options!C49/(Shares!C36+'(Other Computations)'!C292)*C15</f>
        <v>0</v>
      </c>
      <c r="N19" s="74">
        <f>Options!D49/(Shares!D36+'(Other Computations)'!D292)*D15</f>
        <v>0</v>
      </c>
      <c r="O19" s="20" t="str">
        <f>""</f>
        <v/>
      </c>
      <c r="P19" s="69" t="str">
        <f>"      "&amp;Labels!B92</f>
        <v xml:space="preserve">      Series A</v>
      </c>
      <c r="Q19" s="122">
        <f>L19/L21</f>
        <v>0</v>
      </c>
      <c r="R19" s="122">
        <f>M19/M21</f>
        <v>0</v>
      </c>
      <c r="S19" s="122">
        <f>N19/N21</f>
        <v>0</v>
      </c>
      <c r="T19" s="68" t="str">
        <f>""</f>
        <v/>
      </c>
    </row>
    <row r="20" spans="1:20" ht="12.75" customHeight="1">
      <c r="A20" s="13" t="str">
        <f>"      "&amp;Labels!C90</f>
        <v xml:space="preserve">      Subtotal</v>
      </c>
      <c r="B20" s="72" t="str">
        <f>""</f>
        <v/>
      </c>
      <c r="C20" s="72" t="str">
        <f>""</f>
        <v/>
      </c>
      <c r="D20" s="72" t="str">
        <f>""</f>
        <v/>
      </c>
      <c r="E20" s="20" t="str">
        <f>""</f>
        <v/>
      </c>
      <c r="F20" s="13" t="str">
        <f>"      "&amp;Labels!C90</f>
        <v xml:space="preserve">      Subtotal</v>
      </c>
      <c r="G20" s="72">
        <f>SUM(G18:G19)</f>
        <v>0</v>
      </c>
      <c r="H20" s="72">
        <f>SUM(H18:H19)</f>
        <v>0</v>
      </c>
      <c r="I20" s="72">
        <f>SUM(I18:I19)</f>
        <v>0</v>
      </c>
      <c r="J20" s="20">
        <f>SUM(J18:J19)</f>
        <v>0</v>
      </c>
      <c r="K20" s="13" t="str">
        <f>"      "&amp;Labels!C90</f>
        <v xml:space="preserve">      Subtotal</v>
      </c>
      <c r="L20" s="72">
        <f>SUM(L18:L19)</f>
        <v>0</v>
      </c>
      <c r="M20" s="72">
        <f>SUM(M18:M19)</f>
        <v>0</v>
      </c>
      <c r="N20" s="72">
        <f>SUM(N18:N19)</f>
        <v>0</v>
      </c>
      <c r="O20" s="20" t="str">
        <f>""</f>
        <v/>
      </c>
      <c r="P20" s="13" t="str">
        <f>"      "&amp;Labels!C90</f>
        <v xml:space="preserve">      Subtotal</v>
      </c>
      <c r="Q20" s="92">
        <f>L20/L21</f>
        <v>0</v>
      </c>
      <c r="R20" s="92">
        <f>M20/M21</f>
        <v>0</v>
      </c>
      <c r="S20" s="92">
        <f>N20/N21</f>
        <v>0</v>
      </c>
      <c r="T20" s="68" t="str">
        <f>""</f>
        <v/>
      </c>
    </row>
    <row r="21" spans="1:20" ht="12.75" customHeight="1">
      <c r="A21" s="21" t="str">
        <f>"   "&amp;Labels!C82</f>
        <v xml:space="preserve">   Total</v>
      </c>
      <c r="B21" s="22" t="str">
        <f>""</f>
        <v/>
      </c>
      <c r="C21" s="22" t="str">
        <f>""</f>
        <v/>
      </c>
      <c r="D21" s="22" t="str">
        <f>""</f>
        <v/>
      </c>
      <c r="E21" s="23" t="str">
        <f>""</f>
        <v/>
      </c>
      <c r="F21" s="21" t="str">
        <f>"   "&amp;Labels!C82</f>
        <v xml:space="preserve">   Total</v>
      </c>
      <c r="G21" s="22">
        <f>SUM(G11,G14:G16,G20)</f>
        <v>0</v>
      </c>
      <c r="H21" s="22">
        <f>SUM(H11,H14:H16,H20)</f>
        <v>0</v>
      </c>
      <c r="I21" s="22">
        <f>SUM(I11,I14:I16,I20)</f>
        <v>0</v>
      </c>
      <c r="J21" s="23">
        <f>SUM(J11,J14:J16,J20)</f>
        <v>0</v>
      </c>
      <c r="K21" s="21" t="str">
        <f>"   "&amp;Labels!C82</f>
        <v xml:space="preserve">   Total</v>
      </c>
      <c r="L21" s="22">
        <f>SUM(L11,L14:L16,L20)</f>
        <v>1100000</v>
      </c>
      <c r="M21" s="22">
        <f>SUM(M11,M14:M16,M20)</f>
        <v>2640000</v>
      </c>
      <c r="N21" s="22">
        <f>SUM(N11,N14:N16,N20)</f>
        <v>7220000</v>
      </c>
      <c r="O21" s="23" t="str">
        <f>""</f>
        <v/>
      </c>
      <c r="P21" s="21" t="str">
        <f>"   "&amp;Labels!C82</f>
        <v xml:space="preserve">   Total</v>
      </c>
      <c r="Q21" s="123">
        <f>L21/L21</f>
        <v>1</v>
      </c>
      <c r="R21" s="123">
        <f>M21/M21</f>
        <v>1</v>
      </c>
      <c r="S21" s="123">
        <f>N21/N21</f>
        <v>1</v>
      </c>
      <c r="T21" s="70" t="str">
        <f>""</f>
        <v/>
      </c>
    </row>
    <row r="23" spans="1:20" ht="12.75" customHeight="1" collapsed="1">
      <c r="A23" s="2" t="str">
        <f>"Payout Details"</f>
        <v>Payout Details</v>
      </c>
    </row>
    <row r="24" spans="1:20" ht="12.75" hidden="1" customHeight="1" outlineLevel="1">
      <c r="A24" s="1" t="str">
        <f>" "</f>
        <v xml:space="preserve"> </v>
      </c>
    </row>
    <row r="25" spans="1:20" ht="12.75" hidden="1" customHeight="1" outlineLevel="1">
      <c r="B25" s="6" t="str">
        <f>Labels!B78</f>
        <v>Seed</v>
      </c>
      <c r="C25" s="7" t="str">
        <f>Labels!B79</f>
        <v>Round A</v>
      </c>
      <c r="D25" s="7" t="str">
        <f>Labels!B80</f>
        <v>Exit</v>
      </c>
      <c r="E25" s="17" t="str">
        <f>Labels!C77</f>
        <v>Total</v>
      </c>
    </row>
    <row r="26" spans="1:20" ht="12.75" hidden="1" customHeight="1" outlineLevel="1">
      <c r="A26" s="11" t="str">
        <f>Labels!B46</f>
        <v>Payout Pool</v>
      </c>
      <c r="B26" s="18"/>
      <c r="C26" s="18"/>
      <c r="D26" s="18"/>
      <c r="E26" s="12"/>
    </row>
    <row r="27" spans="1:20" ht="12.75" hidden="1" customHeight="1" outlineLevel="1">
      <c r="A27" s="13" t="str">
        <f>"   "&amp;Labels!B83</f>
        <v xml:space="preserve">   Conv Note</v>
      </c>
      <c r="B27" s="72"/>
      <c r="C27" s="72"/>
      <c r="D27" s="72"/>
      <c r="E27" s="20"/>
    </row>
    <row r="28" spans="1:20" ht="12.75" hidden="1" customHeight="1" outlineLevel="1">
      <c r="A28" s="69" t="str">
        <f>"      "&amp;Labels!B84</f>
        <v xml:space="preserve">      Series B</v>
      </c>
      <c r="B28" s="74">
        <f t="shared" ref="B28:E30" si="1">B9</f>
        <v>1100000</v>
      </c>
      <c r="C28" s="74">
        <f t="shared" si="1"/>
        <v>2640000</v>
      </c>
      <c r="D28" s="74">
        <f t="shared" si="1"/>
        <v>7220000</v>
      </c>
      <c r="E28" s="20" t="str">
        <f t="shared" si="1"/>
        <v/>
      </c>
    </row>
    <row r="29" spans="1:20" ht="12.75" hidden="1" customHeight="1" outlineLevel="1">
      <c r="A29" s="69" t="str">
        <f>"      "&amp;Labels!B85</f>
        <v xml:space="preserve">      Series A</v>
      </c>
      <c r="B29" s="74">
        <f t="shared" si="1"/>
        <v>1100000</v>
      </c>
      <c r="C29" s="74">
        <f t="shared" si="1"/>
        <v>2640000</v>
      </c>
      <c r="D29" s="74">
        <f t="shared" si="1"/>
        <v>7220000</v>
      </c>
      <c r="E29" s="20" t="str">
        <f t="shared" si="1"/>
        <v/>
      </c>
    </row>
    <row r="30" spans="1:20" ht="12.75" hidden="1" customHeight="1" outlineLevel="1">
      <c r="A30" s="13" t="str">
        <f>"      "&amp;Labels!C83</f>
        <v xml:space="preserve">      Subtotal</v>
      </c>
      <c r="B30" s="72" t="str">
        <f t="shared" si="1"/>
        <v/>
      </c>
      <c r="C30" s="72" t="str">
        <f t="shared" si="1"/>
        <v/>
      </c>
      <c r="D30" s="72" t="str">
        <f t="shared" si="1"/>
        <v/>
      </c>
      <c r="E30" s="20" t="str">
        <f t="shared" si="1"/>
        <v/>
      </c>
    </row>
    <row r="31" spans="1:20" ht="12.75" hidden="1" customHeight="1" outlineLevel="1">
      <c r="A31" s="13" t="str">
        <f>"   "&amp;Labels!B86</f>
        <v xml:space="preserve">   Preferred</v>
      </c>
      <c r="B31" s="72"/>
      <c r="C31" s="72"/>
      <c r="D31" s="72"/>
      <c r="E31" s="20"/>
    </row>
    <row r="32" spans="1:20" ht="12.75" hidden="1" customHeight="1" outlineLevel="1">
      <c r="A32" s="69" t="str">
        <f>"      "&amp;Labels!B87</f>
        <v xml:space="preserve">      Series A</v>
      </c>
      <c r="B32" s="74">
        <f t="shared" ref="B32:E35" si="2">B13</f>
        <v>1100000</v>
      </c>
      <c r="C32" s="74">
        <f t="shared" si="2"/>
        <v>2640000</v>
      </c>
      <c r="D32" s="74">
        <f t="shared" si="2"/>
        <v>7220000</v>
      </c>
      <c r="E32" s="20" t="str">
        <f t="shared" si="2"/>
        <v/>
      </c>
    </row>
    <row r="33" spans="1:5" ht="12.75" hidden="1" customHeight="1" outlineLevel="1">
      <c r="A33" s="13" t="str">
        <f>"      "&amp;Labels!C86</f>
        <v xml:space="preserve">      Subtotal</v>
      </c>
      <c r="B33" s="72" t="str">
        <f t="shared" si="2"/>
        <v/>
      </c>
      <c r="C33" s="72" t="str">
        <f t="shared" si="2"/>
        <v/>
      </c>
      <c r="D33" s="72" t="str">
        <f t="shared" si="2"/>
        <v/>
      </c>
      <c r="E33" s="20" t="str">
        <f t="shared" si="2"/>
        <v/>
      </c>
    </row>
    <row r="34" spans="1:5" ht="12.75" hidden="1" customHeight="1" outlineLevel="1">
      <c r="A34" s="13" t="str">
        <f>"   "&amp;Labels!B88</f>
        <v xml:space="preserve">   Common</v>
      </c>
      <c r="B34" s="72">
        <f t="shared" si="2"/>
        <v>1100000</v>
      </c>
      <c r="C34" s="72">
        <f t="shared" si="2"/>
        <v>2640000</v>
      </c>
      <c r="D34" s="72">
        <f t="shared" si="2"/>
        <v>7220000</v>
      </c>
      <c r="E34" s="20" t="str">
        <f t="shared" si="2"/>
        <v/>
      </c>
    </row>
    <row r="35" spans="1:5" ht="12.75" hidden="1" customHeight="1" outlineLevel="1">
      <c r="A35" s="13" t="str">
        <f>"   "&amp;Labels!B89</f>
        <v xml:space="preserve">   Warrant</v>
      </c>
      <c r="B35" s="72">
        <f t="shared" si="2"/>
        <v>0</v>
      </c>
      <c r="C35" s="72">
        <f t="shared" si="2"/>
        <v>0</v>
      </c>
      <c r="D35" s="72">
        <f t="shared" si="2"/>
        <v>0</v>
      </c>
      <c r="E35" s="20" t="str">
        <f t="shared" si="2"/>
        <v/>
      </c>
    </row>
    <row r="36" spans="1:5" ht="12.75" hidden="1" customHeight="1" outlineLevel="1">
      <c r="A36" s="13" t="str">
        <f>"   "&amp;Labels!B90</f>
        <v xml:space="preserve">   Option</v>
      </c>
      <c r="B36" s="72"/>
      <c r="C36" s="72"/>
      <c r="D36" s="72"/>
      <c r="E36" s="20"/>
    </row>
    <row r="37" spans="1:5" ht="12.75" hidden="1" customHeight="1" outlineLevel="1">
      <c r="A37" s="69" t="str">
        <f>"      "&amp;Labels!B91</f>
        <v xml:space="preserve">      Series B</v>
      </c>
      <c r="B37" s="74">
        <f t="shared" ref="B37:E40" si="3">B18</f>
        <v>0</v>
      </c>
      <c r="C37" s="74">
        <f t="shared" si="3"/>
        <v>0</v>
      </c>
      <c r="D37" s="74">
        <f t="shared" si="3"/>
        <v>0</v>
      </c>
      <c r="E37" s="20" t="str">
        <f t="shared" si="3"/>
        <v/>
      </c>
    </row>
    <row r="38" spans="1:5" ht="12.75" hidden="1" customHeight="1" outlineLevel="1">
      <c r="A38" s="69" t="str">
        <f>"      "&amp;Labels!B92</f>
        <v xml:space="preserve">      Series A</v>
      </c>
      <c r="B38" s="74">
        <f t="shared" si="3"/>
        <v>0</v>
      </c>
      <c r="C38" s="74">
        <f t="shared" si="3"/>
        <v>0</v>
      </c>
      <c r="D38" s="74">
        <f t="shared" si="3"/>
        <v>0</v>
      </c>
      <c r="E38" s="20" t="str">
        <f t="shared" si="3"/>
        <v/>
      </c>
    </row>
    <row r="39" spans="1:5" ht="12.75" hidden="1" customHeight="1" outlineLevel="1">
      <c r="A39" s="13" t="str">
        <f>"      "&amp;Labels!C90</f>
        <v xml:space="preserve">      Subtotal</v>
      </c>
      <c r="B39" s="72" t="str">
        <f t="shared" si="3"/>
        <v/>
      </c>
      <c r="C39" s="72" t="str">
        <f t="shared" si="3"/>
        <v/>
      </c>
      <c r="D39" s="72" t="str">
        <f t="shared" si="3"/>
        <v/>
      </c>
      <c r="E39" s="20" t="str">
        <f t="shared" si="3"/>
        <v/>
      </c>
    </row>
    <row r="40" spans="1:5" ht="12.75" hidden="1" customHeight="1" outlineLevel="1">
      <c r="A40" s="29" t="str">
        <f>"   "&amp;Labels!C82</f>
        <v xml:space="preserve">   Total</v>
      </c>
      <c r="B40" s="44" t="str">
        <f t="shared" si="3"/>
        <v/>
      </c>
      <c r="C40" s="44" t="str">
        <f t="shared" si="3"/>
        <v/>
      </c>
      <c r="D40" s="44" t="str">
        <f t="shared" si="3"/>
        <v/>
      </c>
      <c r="E40" s="20" t="str">
        <f t="shared" si="3"/>
        <v/>
      </c>
    </row>
    <row r="41" spans="1:5" ht="12.75" hidden="1" customHeight="1" outlineLevel="1">
      <c r="A41" s="4"/>
      <c r="B41" s="43"/>
      <c r="C41" s="43"/>
      <c r="D41" s="43"/>
      <c r="E41" s="4"/>
    </row>
    <row r="42" spans="1:5" ht="12.75" hidden="1" customHeight="1" outlineLevel="1">
      <c r="A42" s="29" t="str">
        <f>Labels!B44</f>
        <v>Payout</v>
      </c>
      <c r="B42" s="44"/>
      <c r="C42" s="44"/>
      <c r="D42" s="44"/>
      <c r="E42" s="20"/>
    </row>
    <row r="43" spans="1:5" ht="12.75" hidden="1" customHeight="1" outlineLevel="1">
      <c r="A43" s="13" t="str">
        <f>"   "&amp;Labels!B83</f>
        <v xml:space="preserve">   Conv Note</v>
      </c>
      <c r="B43" s="72"/>
      <c r="C43" s="72"/>
      <c r="D43" s="72"/>
      <c r="E43" s="20"/>
    </row>
    <row r="44" spans="1:5" ht="12.75" hidden="1" customHeight="1" outlineLevel="1">
      <c r="A44" s="69" t="str">
        <f>"      "&amp;Labels!B84</f>
        <v xml:space="preserve">      Series B</v>
      </c>
      <c r="B44" s="74">
        <f t="shared" ref="B44:E46" si="4">L9</f>
        <v>0</v>
      </c>
      <c r="C44" s="74">
        <f t="shared" si="4"/>
        <v>0</v>
      </c>
      <c r="D44" s="74">
        <f t="shared" si="4"/>
        <v>0</v>
      </c>
      <c r="E44" s="20" t="str">
        <f t="shared" si="4"/>
        <v/>
      </c>
    </row>
    <row r="45" spans="1:5" ht="12.75" hidden="1" customHeight="1" outlineLevel="1">
      <c r="A45" s="69" t="str">
        <f>"      "&amp;Labels!B85</f>
        <v xml:space="preserve">      Series A</v>
      </c>
      <c r="B45" s="74">
        <f t="shared" si="4"/>
        <v>0</v>
      </c>
      <c r="C45" s="74">
        <f t="shared" si="4"/>
        <v>0</v>
      </c>
      <c r="D45" s="74">
        <f t="shared" si="4"/>
        <v>0</v>
      </c>
      <c r="E45" s="20" t="str">
        <f t="shared" si="4"/>
        <v/>
      </c>
    </row>
    <row r="46" spans="1:5" ht="12.75" hidden="1" customHeight="1" outlineLevel="1">
      <c r="A46" s="13" t="str">
        <f>"      "&amp;Labels!C83</f>
        <v xml:space="preserve">      Subtotal</v>
      </c>
      <c r="B46" s="72">
        <f t="shared" si="4"/>
        <v>0</v>
      </c>
      <c r="C46" s="72">
        <f t="shared" si="4"/>
        <v>0</v>
      </c>
      <c r="D46" s="72">
        <f t="shared" si="4"/>
        <v>0</v>
      </c>
      <c r="E46" s="20" t="str">
        <f t="shared" si="4"/>
        <v/>
      </c>
    </row>
    <row r="47" spans="1:5" ht="12.75" hidden="1" customHeight="1" outlineLevel="1">
      <c r="A47" s="13" t="str">
        <f>"   "&amp;Labels!B86</f>
        <v xml:space="preserve">   Preferred</v>
      </c>
      <c r="B47" s="72"/>
      <c r="C47" s="72"/>
      <c r="D47" s="72"/>
      <c r="E47" s="20"/>
    </row>
    <row r="48" spans="1:5" ht="12.75" hidden="1" customHeight="1" outlineLevel="1">
      <c r="A48" s="69" t="str">
        <f>"      "&amp;Labels!B87</f>
        <v xml:space="preserve">      Series A</v>
      </c>
      <c r="B48" s="74">
        <f t="shared" ref="B48:E51" si="5">L13</f>
        <v>0</v>
      </c>
      <c r="C48" s="74">
        <f t="shared" si="5"/>
        <v>0</v>
      </c>
      <c r="D48" s="74">
        <f t="shared" si="5"/>
        <v>0</v>
      </c>
      <c r="E48" s="20" t="str">
        <f t="shared" si="5"/>
        <v/>
      </c>
    </row>
    <row r="49" spans="1:5" ht="12.75" hidden="1" customHeight="1" outlineLevel="1">
      <c r="A49" s="13" t="str">
        <f>"      "&amp;Labels!C86</f>
        <v xml:space="preserve">      Subtotal</v>
      </c>
      <c r="B49" s="72">
        <f t="shared" si="5"/>
        <v>0</v>
      </c>
      <c r="C49" s="72">
        <f t="shared" si="5"/>
        <v>0</v>
      </c>
      <c r="D49" s="72">
        <f t="shared" si="5"/>
        <v>0</v>
      </c>
      <c r="E49" s="20" t="str">
        <f t="shared" si="5"/>
        <v/>
      </c>
    </row>
    <row r="50" spans="1:5" ht="12.75" hidden="1" customHeight="1" outlineLevel="1">
      <c r="A50" s="13" t="str">
        <f>"   "&amp;Labels!B88</f>
        <v xml:space="preserve">   Common</v>
      </c>
      <c r="B50" s="72">
        <f t="shared" si="5"/>
        <v>1100000</v>
      </c>
      <c r="C50" s="72">
        <f t="shared" si="5"/>
        <v>2640000</v>
      </c>
      <c r="D50" s="72">
        <f t="shared" si="5"/>
        <v>7220000</v>
      </c>
      <c r="E50" s="20" t="str">
        <f t="shared" si="5"/>
        <v/>
      </c>
    </row>
    <row r="51" spans="1:5" ht="12.75" hidden="1" customHeight="1" outlineLevel="1">
      <c r="A51" s="13" t="str">
        <f>"   "&amp;Labels!B89</f>
        <v xml:space="preserve">   Warrant</v>
      </c>
      <c r="B51" s="72">
        <f t="shared" si="5"/>
        <v>0</v>
      </c>
      <c r="C51" s="72">
        <f t="shared" si="5"/>
        <v>0</v>
      </c>
      <c r="D51" s="72">
        <f t="shared" si="5"/>
        <v>0</v>
      </c>
      <c r="E51" s="20" t="str">
        <f t="shared" si="5"/>
        <v/>
      </c>
    </row>
    <row r="52" spans="1:5" ht="12.75" hidden="1" customHeight="1" outlineLevel="1">
      <c r="A52" s="13" t="str">
        <f>"   "&amp;Labels!B90</f>
        <v xml:space="preserve">   Option</v>
      </c>
      <c r="B52" s="72"/>
      <c r="C52" s="72"/>
      <c r="D52" s="72"/>
      <c r="E52" s="20"/>
    </row>
    <row r="53" spans="1:5" ht="12.75" hidden="1" customHeight="1" outlineLevel="1">
      <c r="A53" s="69" t="str">
        <f>"      "&amp;Labels!B91</f>
        <v xml:space="preserve">      Series B</v>
      </c>
      <c r="B53" s="74">
        <f t="shared" ref="B53:E56" si="6">L18</f>
        <v>0</v>
      </c>
      <c r="C53" s="74">
        <f t="shared" si="6"/>
        <v>0</v>
      </c>
      <c r="D53" s="74">
        <f t="shared" si="6"/>
        <v>0</v>
      </c>
      <c r="E53" s="20" t="str">
        <f t="shared" si="6"/>
        <v/>
      </c>
    </row>
    <row r="54" spans="1:5" ht="12.75" hidden="1" customHeight="1" outlineLevel="1">
      <c r="A54" s="69" t="str">
        <f>"      "&amp;Labels!B92</f>
        <v xml:space="preserve">      Series A</v>
      </c>
      <c r="B54" s="74">
        <f t="shared" si="6"/>
        <v>0</v>
      </c>
      <c r="C54" s="74">
        <f t="shared" si="6"/>
        <v>0</v>
      </c>
      <c r="D54" s="74">
        <f t="shared" si="6"/>
        <v>0</v>
      </c>
      <c r="E54" s="20" t="str">
        <f t="shared" si="6"/>
        <v/>
      </c>
    </row>
    <row r="55" spans="1:5" ht="12.75" hidden="1" customHeight="1" outlineLevel="1">
      <c r="A55" s="13" t="str">
        <f>"      "&amp;Labels!C90</f>
        <v xml:space="preserve">      Subtotal</v>
      </c>
      <c r="B55" s="72">
        <f t="shared" si="6"/>
        <v>0</v>
      </c>
      <c r="C55" s="72">
        <f t="shared" si="6"/>
        <v>0</v>
      </c>
      <c r="D55" s="72">
        <f t="shared" si="6"/>
        <v>0</v>
      </c>
      <c r="E55" s="20" t="str">
        <f t="shared" si="6"/>
        <v/>
      </c>
    </row>
    <row r="56" spans="1:5" ht="12.75" hidden="1" customHeight="1" outlineLevel="1">
      <c r="A56" s="29" t="str">
        <f>"   "&amp;Labels!C82</f>
        <v xml:space="preserve">   Total</v>
      </c>
      <c r="B56" s="44">
        <f t="shared" si="6"/>
        <v>1100000</v>
      </c>
      <c r="C56" s="44">
        <f t="shared" si="6"/>
        <v>2640000</v>
      </c>
      <c r="D56" s="44">
        <f t="shared" si="6"/>
        <v>7220000</v>
      </c>
      <c r="E56" s="20" t="str">
        <f t="shared" si="6"/>
        <v/>
      </c>
    </row>
    <row r="57" spans="1:5" ht="12.75" hidden="1" customHeight="1" outlineLevel="1">
      <c r="A57" s="4"/>
      <c r="B57" s="43"/>
      <c r="C57" s="43"/>
      <c r="D57" s="43"/>
      <c r="E57" s="4"/>
    </row>
    <row r="58" spans="1:5" ht="12.75" hidden="1" customHeight="1" outlineLevel="1">
      <c r="A58" s="29" t="str">
        <f>Labels!B45</f>
        <v>Payout %</v>
      </c>
      <c r="B58" s="124"/>
      <c r="C58" s="124"/>
      <c r="D58" s="124"/>
      <c r="E58" s="68"/>
    </row>
    <row r="59" spans="1:5" ht="12.75" hidden="1" customHeight="1" outlineLevel="1">
      <c r="A59" s="13" t="str">
        <f>"   "&amp;Labels!B83</f>
        <v xml:space="preserve">   Conv Note</v>
      </c>
      <c r="B59" s="92"/>
      <c r="C59" s="92"/>
      <c r="D59" s="92"/>
      <c r="E59" s="68"/>
    </row>
    <row r="60" spans="1:5" ht="12.75" hidden="1" customHeight="1" outlineLevel="1">
      <c r="A60" s="69" t="str">
        <f>"      "&amp;Labels!B84</f>
        <v xml:space="preserve">      Series B</v>
      </c>
      <c r="B60" s="122">
        <f t="shared" ref="B60:E62" si="7">Q9</f>
        <v>0</v>
      </c>
      <c r="C60" s="122">
        <f t="shared" si="7"/>
        <v>0</v>
      </c>
      <c r="D60" s="122">
        <f t="shared" si="7"/>
        <v>0</v>
      </c>
      <c r="E60" s="68" t="str">
        <f t="shared" si="7"/>
        <v/>
      </c>
    </row>
    <row r="61" spans="1:5" ht="12.75" hidden="1" customHeight="1" outlineLevel="1">
      <c r="A61" s="69" t="str">
        <f>"      "&amp;Labels!B85</f>
        <v xml:space="preserve">      Series A</v>
      </c>
      <c r="B61" s="122">
        <f t="shared" si="7"/>
        <v>0</v>
      </c>
      <c r="C61" s="122">
        <f t="shared" si="7"/>
        <v>0</v>
      </c>
      <c r="D61" s="122">
        <f t="shared" si="7"/>
        <v>0</v>
      </c>
      <c r="E61" s="68" t="str">
        <f t="shared" si="7"/>
        <v/>
      </c>
    </row>
    <row r="62" spans="1:5" ht="12.75" hidden="1" customHeight="1" outlineLevel="1">
      <c r="A62" s="13" t="str">
        <f>"      "&amp;Labels!C83</f>
        <v xml:space="preserve">      Subtotal</v>
      </c>
      <c r="B62" s="92">
        <f t="shared" si="7"/>
        <v>0</v>
      </c>
      <c r="C62" s="92">
        <f t="shared" si="7"/>
        <v>0</v>
      </c>
      <c r="D62" s="92">
        <f t="shared" si="7"/>
        <v>0</v>
      </c>
      <c r="E62" s="68" t="str">
        <f t="shared" si="7"/>
        <v/>
      </c>
    </row>
    <row r="63" spans="1:5" ht="12.75" hidden="1" customHeight="1" outlineLevel="1">
      <c r="A63" s="13" t="str">
        <f>"   "&amp;Labels!B86</f>
        <v xml:space="preserve">   Preferred</v>
      </c>
      <c r="B63" s="92"/>
      <c r="C63" s="92"/>
      <c r="D63" s="92"/>
      <c r="E63" s="68"/>
    </row>
    <row r="64" spans="1:5" ht="12.75" hidden="1" customHeight="1" outlineLevel="1">
      <c r="A64" s="69" t="str">
        <f>"      "&amp;Labels!B87</f>
        <v xml:space="preserve">      Series A</v>
      </c>
      <c r="B64" s="122">
        <f t="shared" ref="B64:E67" si="8">Q13</f>
        <v>0</v>
      </c>
      <c r="C64" s="122">
        <f t="shared" si="8"/>
        <v>0</v>
      </c>
      <c r="D64" s="122">
        <f t="shared" si="8"/>
        <v>0</v>
      </c>
      <c r="E64" s="68" t="str">
        <f t="shared" si="8"/>
        <v/>
      </c>
    </row>
    <row r="65" spans="1:5" ht="12.75" hidden="1" customHeight="1" outlineLevel="1">
      <c r="A65" s="13" t="str">
        <f>"      "&amp;Labels!C86</f>
        <v xml:space="preserve">      Subtotal</v>
      </c>
      <c r="B65" s="92">
        <f t="shared" si="8"/>
        <v>0</v>
      </c>
      <c r="C65" s="92">
        <f t="shared" si="8"/>
        <v>0</v>
      </c>
      <c r="D65" s="92">
        <f t="shared" si="8"/>
        <v>0</v>
      </c>
      <c r="E65" s="68" t="str">
        <f t="shared" si="8"/>
        <v/>
      </c>
    </row>
    <row r="66" spans="1:5" ht="12.75" hidden="1" customHeight="1" outlineLevel="1">
      <c r="A66" s="13" t="str">
        <f>"   "&amp;Labels!B88</f>
        <v xml:space="preserve">   Common</v>
      </c>
      <c r="B66" s="92">
        <f t="shared" si="8"/>
        <v>1</v>
      </c>
      <c r="C66" s="92">
        <f t="shared" si="8"/>
        <v>1</v>
      </c>
      <c r="D66" s="92">
        <f t="shared" si="8"/>
        <v>1</v>
      </c>
      <c r="E66" s="68" t="str">
        <f t="shared" si="8"/>
        <v/>
      </c>
    </row>
    <row r="67" spans="1:5" ht="12.75" hidden="1" customHeight="1" outlineLevel="1">
      <c r="A67" s="13" t="str">
        <f>"   "&amp;Labels!B89</f>
        <v xml:space="preserve">   Warrant</v>
      </c>
      <c r="B67" s="92">
        <f t="shared" si="8"/>
        <v>0</v>
      </c>
      <c r="C67" s="92">
        <f t="shared" si="8"/>
        <v>0</v>
      </c>
      <c r="D67" s="92">
        <f t="shared" si="8"/>
        <v>0</v>
      </c>
      <c r="E67" s="68" t="str">
        <f t="shared" si="8"/>
        <v/>
      </c>
    </row>
    <row r="68" spans="1:5" ht="12.75" hidden="1" customHeight="1" outlineLevel="1">
      <c r="A68" s="13" t="str">
        <f>"   "&amp;Labels!B90</f>
        <v xml:space="preserve">   Option</v>
      </c>
      <c r="B68" s="92"/>
      <c r="C68" s="92"/>
      <c r="D68" s="92"/>
      <c r="E68" s="68"/>
    </row>
    <row r="69" spans="1:5" ht="12.75" hidden="1" customHeight="1" outlineLevel="1">
      <c r="A69" s="69" t="str">
        <f>"      "&amp;Labels!B91</f>
        <v xml:space="preserve">      Series B</v>
      </c>
      <c r="B69" s="122">
        <f t="shared" ref="B69:E72" si="9">Q18</f>
        <v>0</v>
      </c>
      <c r="C69" s="122">
        <f t="shared" si="9"/>
        <v>0</v>
      </c>
      <c r="D69" s="122">
        <f t="shared" si="9"/>
        <v>0</v>
      </c>
      <c r="E69" s="68" t="str">
        <f t="shared" si="9"/>
        <v/>
      </c>
    </row>
    <row r="70" spans="1:5" ht="12.75" hidden="1" customHeight="1" outlineLevel="1">
      <c r="A70" s="69" t="str">
        <f>"      "&amp;Labels!B92</f>
        <v xml:space="preserve">      Series A</v>
      </c>
      <c r="B70" s="122">
        <f t="shared" si="9"/>
        <v>0</v>
      </c>
      <c r="C70" s="122">
        <f t="shared" si="9"/>
        <v>0</v>
      </c>
      <c r="D70" s="122">
        <f t="shared" si="9"/>
        <v>0</v>
      </c>
      <c r="E70" s="68" t="str">
        <f t="shared" si="9"/>
        <v/>
      </c>
    </row>
    <row r="71" spans="1:5" ht="12.75" hidden="1" customHeight="1" outlineLevel="1">
      <c r="A71" s="13" t="str">
        <f>"      "&amp;Labels!C90</f>
        <v xml:space="preserve">      Subtotal</v>
      </c>
      <c r="B71" s="92">
        <f t="shared" si="9"/>
        <v>0</v>
      </c>
      <c r="C71" s="92">
        <f t="shared" si="9"/>
        <v>0</v>
      </c>
      <c r="D71" s="92">
        <f t="shared" si="9"/>
        <v>0</v>
      </c>
      <c r="E71" s="68" t="str">
        <f t="shared" si="9"/>
        <v/>
      </c>
    </row>
    <row r="72" spans="1:5" ht="12.75" hidden="1" customHeight="1" outlineLevel="1">
      <c r="A72" s="21" t="str">
        <f>"   "&amp;Labels!C82</f>
        <v xml:space="preserve">   Total</v>
      </c>
      <c r="B72" s="123">
        <f t="shared" si="9"/>
        <v>1</v>
      </c>
      <c r="C72" s="123">
        <f t="shared" si="9"/>
        <v>1</v>
      </c>
      <c r="D72" s="123">
        <f t="shared" si="9"/>
        <v>1</v>
      </c>
      <c r="E72" s="70" t="str">
        <f t="shared" si="9"/>
        <v/>
      </c>
    </row>
    <row r="73" spans="1:5" ht="12.75" hidden="1" customHeight="1" outlineLevel="1"/>
    <row r="74" spans="1:5" ht="12.75" hidden="1" customHeight="1" outlineLevel="1">
      <c r="A74" s="216" t="str">
        <f>"Liquidation Preference - Notes"</f>
        <v>Liquidation Preference - Notes</v>
      </c>
      <c r="B74" s="216"/>
      <c r="C74" s="216"/>
    </row>
    <row r="75" spans="1:5" ht="12.75" hidden="1" customHeight="1" outlineLevel="1">
      <c r="A75" s="11" t="str">
        <f>Labels!B34</f>
        <v>Liquidation Preference</v>
      </c>
      <c r="B75" s="18"/>
      <c r="C75" s="18"/>
      <c r="D75" s="18"/>
      <c r="E75" s="12"/>
    </row>
    <row r="76" spans="1:5" ht="12.75" hidden="1" customHeight="1" outlineLevel="1">
      <c r="A76" s="13" t="str">
        <f>"   "&amp;Labels!B84</f>
        <v xml:space="preserve">   Series B</v>
      </c>
      <c r="B76" s="72">
        <f t="shared" ref="B76:E78" si="10">G9</f>
        <v>0</v>
      </c>
      <c r="C76" s="72">
        <f t="shared" si="10"/>
        <v>0</v>
      </c>
      <c r="D76" s="72">
        <f t="shared" si="10"/>
        <v>0</v>
      </c>
      <c r="E76" s="20">
        <f t="shared" si="10"/>
        <v>0</v>
      </c>
    </row>
    <row r="77" spans="1:5" ht="12.75" hidden="1" customHeight="1" outlineLevel="1">
      <c r="A77" s="13" t="str">
        <f>"   "&amp;Labels!B85</f>
        <v xml:space="preserve">   Series A</v>
      </c>
      <c r="B77" s="72">
        <f t="shared" si="10"/>
        <v>0</v>
      </c>
      <c r="C77" s="72">
        <f t="shared" si="10"/>
        <v>0</v>
      </c>
      <c r="D77" s="72">
        <f t="shared" si="10"/>
        <v>0</v>
      </c>
      <c r="E77" s="20">
        <f t="shared" si="10"/>
        <v>0</v>
      </c>
    </row>
    <row r="78" spans="1:5" ht="12.75" hidden="1" customHeight="1" outlineLevel="1">
      <c r="A78" s="21" t="str">
        <f>"   "&amp;Labels!C83</f>
        <v xml:space="preserve">   Subtotal</v>
      </c>
      <c r="B78" s="22">
        <f t="shared" si="10"/>
        <v>0</v>
      </c>
      <c r="C78" s="22">
        <f t="shared" si="10"/>
        <v>0</v>
      </c>
      <c r="D78" s="22">
        <f t="shared" si="10"/>
        <v>0</v>
      </c>
      <c r="E78" s="23">
        <f t="shared" si="10"/>
        <v>0</v>
      </c>
    </row>
    <row r="79" spans="1:5" ht="12.75" hidden="1" customHeight="1" outlineLevel="1"/>
    <row r="80" spans="1:5" ht="12.75" hidden="1" customHeight="1" outlineLevel="1">
      <c r="A80" s="216" t="str">
        <f>"Liquuidation Preference - Preferred"</f>
        <v>Liquuidation Preference - Preferred</v>
      </c>
      <c r="B80" s="216"/>
      <c r="C80" s="216"/>
    </row>
    <row r="81" spans="1:5" ht="12.75" hidden="1" customHeight="1" outlineLevel="1">
      <c r="A81" s="11" t="str">
        <f>Labels!B34</f>
        <v>Liquidation Preference</v>
      </c>
      <c r="B81" s="18"/>
      <c r="C81" s="18"/>
      <c r="D81" s="18"/>
      <c r="E81" s="12"/>
    </row>
    <row r="82" spans="1:5" ht="12.75" hidden="1" customHeight="1" outlineLevel="1">
      <c r="A82" s="13" t="str">
        <f>"   "&amp;Labels!B87</f>
        <v xml:space="preserve">   Series A</v>
      </c>
      <c r="B82" s="72">
        <f t="shared" ref="B82:E83" si="11">G13</f>
        <v>0</v>
      </c>
      <c r="C82" s="72">
        <f t="shared" si="11"/>
        <v>0</v>
      </c>
      <c r="D82" s="72">
        <f t="shared" si="11"/>
        <v>0</v>
      </c>
      <c r="E82" s="20">
        <f t="shared" si="11"/>
        <v>0</v>
      </c>
    </row>
    <row r="83" spans="1:5" ht="12.75" hidden="1" customHeight="1" outlineLevel="1">
      <c r="A83" s="21" t="str">
        <f>"   "&amp;Labels!C86</f>
        <v xml:space="preserve">   Subtotal</v>
      </c>
      <c r="B83" s="22">
        <f t="shared" si="11"/>
        <v>0</v>
      </c>
      <c r="C83" s="22">
        <f t="shared" si="11"/>
        <v>0</v>
      </c>
      <c r="D83" s="22">
        <f t="shared" si="11"/>
        <v>0</v>
      </c>
      <c r="E83" s="23">
        <f t="shared" si="11"/>
        <v>0</v>
      </c>
    </row>
    <row r="84" spans="1:5" ht="12.75" hidden="1" customHeight="1" outlineLevel="1"/>
    <row r="85" spans="1:5" ht="12.75" hidden="1" customHeight="1" outlineLevel="1" collapsed="1"/>
    <row r="86" spans="1:5" ht="12.75" customHeight="1" collapsed="1"/>
  </sheetData>
  <mergeCells count="7">
    <mergeCell ref="A80:C80"/>
    <mergeCell ref="A1:D1"/>
    <mergeCell ref="A2:D2"/>
    <mergeCell ref="A3:D3"/>
    <mergeCell ref="A4:D4"/>
    <mergeCell ref="A5:D5"/>
    <mergeCell ref="A74:C74"/>
  </mergeCells>
  <pageMargins left="0.75" right="0.75" top="1" bottom="1" header="0.5" footer="0.5"/>
  <pageSetup paperSize="9" orientation="landscape" horizontalDpi="0" verticalDpi="0" copies="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34" ma:contentTypeDescription="Create a new document." ma:contentTypeScope="" ma:versionID="e4b7918f6d70a6bbd3ae09fdaae93119"/>
</file>

<file path=customXml/itemProps1.xml><?xml version="1.0" encoding="utf-8"?>
<ds:datastoreItem xmlns:ds="http://schemas.openxmlformats.org/officeDocument/2006/customXml" ds:itemID="{CBA993EA-2226-4D71-ACFF-E4D5110474B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6B586F3-3B7A-4252-965F-1B7DA87652C5}">
  <ds:schemaRefs>
    <ds:schemaRef ds:uri="http://schemas.microsoft.com/sharepoint/v3/contenttype/forms"/>
  </ds:schemaRefs>
</ds:datastoreItem>
</file>

<file path=customXml/itemProps3.xml><?xml version="1.0" encoding="utf-8"?>
<ds:datastoreItem xmlns:ds="http://schemas.openxmlformats.org/officeDocument/2006/customXml" ds:itemID="{CF556C12-29F3-4679-86AD-80510894E685}">
  <ds:schemaRefs>
    <ds:schemaRef ds:uri="http://schemas.microsoft.com/office/2006/metadata/contentType"/>
    <ds:schemaRef ds:uri="http://schemas.microsoft.com/office/2006/metadata/properties/metaAttribut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Intro</vt:lpstr>
      <vt:lpstr>Inputs</vt:lpstr>
      <vt:lpstr>Investment</vt:lpstr>
      <vt:lpstr>Shares</vt:lpstr>
      <vt:lpstr>Conversion</vt:lpstr>
      <vt:lpstr>Prices</vt:lpstr>
      <vt:lpstr>Options</vt:lpstr>
      <vt:lpstr>Valuation</vt:lpstr>
      <vt:lpstr>Payout</vt:lpstr>
      <vt:lpstr>Formulas</vt:lpstr>
      <vt:lpstr>Boneyard</vt:lpstr>
      <vt:lpstr>(Other Computations)</vt:lpstr>
      <vt:lpstr>Labels</vt:lpstr>
      <vt:lpstr>ZZZ__FnCalls</vt:lpstr>
      <vt:lpstr>ZZZ_Ranges</vt:lpstr>
      <vt:lpstr>ZZZ_Import</vt:lpstr>
      <vt:lpstr>Event_Date</vt:lpstr>
      <vt:lpstr>Intro!Print_Titles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Dnaumov</dc:creator>
  <cp:lastModifiedBy>Dnaumov</cp:lastModifiedBy>
  <dcterms:created xsi:type="dcterms:W3CDTF">2010-06-11T21:47:37Z</dcterms:created>
  <dcterms:modified xsi:type="dcterms:W3CDTF">2010-07-09T19:50:39Z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TC103363679990</vt:lpwstr>
  </property>
</Properties>
</file>